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'cashflow'!$G$14:$G$16</definedName>
    <definedName name="_xlnm.Print_Area" localSheetId="7">'cashflow'!$B$1:$K$80</definedName>
    <definedName name="_xlnm.Print_Area" localSheetId="3">'equity statement'!$A$1:$J$36</definedName>
    <definedName name="_xlnm.Print_Area" localSheetId="0">'Income statement'!$A$1:$P$65</definedName>
  </definedNames>
  <calcPr fullCalcOnLoad="1"/>
</workbook>
</file>

<file path=xl/sharedStrings.xml><?xml version="1.0" encoding="utf-8"?>
<sst xmlns="http://schemas.openxmlformats.org/spreadsheetml/2006/main" count="439" uniqueCount="277">
  <si>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</si>
  <si>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</si>
  <si>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</si>
  <si>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</si>
  <si>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</si>
  <si>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</si>
  <si>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</si>
  <si>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</si>
  <si>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</si>
  <si>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</si>
  <si>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</si>
  <si>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</si>
  <si>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</si>
  <si>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</si>
  <si>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</si>
  <si>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</si>
  <si>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</si>
  <si>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</si>
  <si>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</si>
  <si>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</si>
  <si>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</si>
  <si>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</si>
  <si>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</si>
  <si>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</si>
  <si>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</si>
  <si>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</si>
  <si>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</si>
  <si>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</si>
  <si>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</si>
  <si>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</si>
  <si>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</si>
  <si>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</si>
  <si>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</si>
  <si>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</si>
  <si>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</si>
  <si>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</si>
  <si>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</si>
  <si>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</si>
  <si>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</si>
  <si>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</si>
  <si>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</si>
  <si>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</si>
  <si>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</si>
  <si>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</si>
  <si>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</si>
  <si>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</si>
  <si>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</si>
  <si>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</si>
  <si>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</si>
  <si>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</si>
  <si>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</si>
  <si>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</si>
  <si>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</si>
  <si>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</si>
  <si>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</si>
  <si>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</si>
  <si>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</si>
  <si>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</si>
  <si>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</si>
  <si>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</si>
  <si>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</si>
  <si>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</si>
  <si>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</si>
  <si>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</si>
  <si>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</si>
  <si>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</si>
  <si>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</si>
  <si>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</si>
  <si>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</si>
  <si>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</si>
  <si>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</si>
  <si>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</si>
  <si>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</si>
  <si>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</si>
  <si>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</si>
  <si>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</si>
  <si>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</si>
  <si>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</si>
  <si>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</si>
  <si>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</si>
  <si>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</si>
  <si>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</si>
  <si>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</si>
  <si>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</si>
  <si>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</si>
  <si>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</si>
  <si>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</si>
  <si>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</si>
  <si>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</si>
  <si>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</si>
  <si>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</si>
  <si>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</si>
  <si>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</si>
  <si>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</si>
  <si>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</si>
  <si>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</si>
  <si>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</si>
  <si>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</si>
  <si>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</si>
  <si>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</si>
  <si>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</si>
  <si>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</si>
  <si>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</si>
  <si>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</si>
  <si>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</si>
  <si>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</si>
  <si>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</si>
  <si>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</si>
  <si>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</si>
  <si>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</si>
  <si>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</si>
  <si>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</si>
  <si>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</si>
  <si>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</si>
  <si>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</si>
  <si>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</si>
  <si>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</si>
  <si>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</si>
  <si>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</si>
  <si>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</si>
  <si>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</si>
  <si>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</si>
  <si>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</si>
  <si>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</si>
  <si>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</si>
  <si>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</si>
  <si>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</si>
  <si>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</si>
  <si>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</si>
  <si>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</si>
  <si>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</si>
  <si>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</si>
  <si>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</si>
  <si>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</si>
  <si>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</si>
  <si>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</si>
  <si>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</si>
  <si>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</si>
  <si>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</si>
  <si>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</si>
  <si>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</si>
  <si>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</si>
  <si>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</si>
  <si>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</si>
  <si>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</si>
  <si>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</si>
  <si>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</si>
  <si>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</si>
  <si>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</si>
  <si>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</si>
  <si>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</si>
  <si>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</si>
  <si>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</si>
  <si>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</si>
  <si>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</si>
  <si>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</si>
  <si>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</si>
  <si>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</si>
  <si>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</si>
  <si>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</si>
  <si>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</si>
  <si>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</si>
  <si>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</si>
  <si>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</si>
  <si>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</si>
  <si>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</si>
  <si>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</si>
  <si>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</si>
  <si>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</si>
  <si>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</si>
  <si>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</si>
  <si>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</si>
  <si>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</si>
  <si>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</si>
  <si>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</si>
  <si>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</si>
  <si>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</si>
  <si>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</si>
  <si>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</si>
  <si>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</si>
  <si>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</si>
  <si>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</si>
  <si>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</si>
  <si>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</si>
  <si>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</si>
  <si>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</si>
  <si>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</si>
  <si>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</si>
  <si>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</si>
  <si>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</si>
  <si>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</si>
  <si>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</si>
  <si>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</si>
  <si>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</si>
  <si>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</si>
  <si>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</si>
  <si>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</si>
  <si>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</si>
  <si>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</si>
  <si>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</si>
  <si>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</si>
  <si>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</si>
  <si>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</si>
  <si>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</si>
  <si>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</si>
  <si>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</si>
  <si>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</si>
  <si>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</si>
  <si>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</si>
  <si>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</si>
  <si>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</si>
  <si>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</si>
  <si>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</si>
  <si>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</si>
  <si>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</si>
  <si>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</si>
  <si>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</si>
  <si>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</si>
  <si>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</si>
  <si>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</si>
  <si>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</si>
  <si>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</si>
  <si>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</si>
  <si>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</si>
  <si>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</si>
  <si>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</si>
  <si>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</si>
  <si>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</si>
  <si>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</si>
  <si>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</si>
  <si>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</si>
  <si>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</si>
  <si>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</si>
  <si>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</si>
  <si>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</si>
  <si>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</si>
  <si>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</si>
  <si>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to contract customers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</si>
  <si>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</si>
  <si>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</si>
  <si>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</si>
  <si>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</si>
  <si>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</si>
  <si>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divided  by the number of ordinary shares in issue as at Balance Sheet date.</t>
  </si>
  <si>
    <t>31 December 2011</t>
  </si>
  <si>
    <t>Interest received</t>
  </si>
  <si>
    <t>31 March 2012</t>
  </si>
  <si>
    <t>31 March 2011</t>
  </si>
  <si>
    <t>Balance as at 1 Jan 2012</t>
  </si>
  <si>
    <t xml:space="preserve"> for the financial year ended 31 December 2011 and the accompanying notes attached to this interim financial report.</t>
  </si>
  <si>
    <t>statements for the financial year ended 31 December 2011 and the accompanying notes attached to this interim financial report.</t>
  </si>
  <si>
    <t>Intangible asset</t>
  </si>
  <si>
    <t>Retention sum</t>
  </si>
  <si>
    <t>Amount due by customers for contract works</t>
  </si>
  <si>
    <t>Financial assets held for trading</t>
  </si>
  <si>
    <t>Fixed deposits with licensed banks</t>
  </si>
  <si>
    <t>Non- current asset held for sale</t>
  </si>
  <si>
    <t>Warrant Reserve</t>
  </si>
  <si>
    <t>Short term investment and fixed deposits with licensed banks</t>
  </si>
  <si>
    <t>30 June 2011</t>
  </si>
  <si>
    <t>Proceeds from Rights Issue</t>
  </si>
  <si>
    <t>Proceeds from disposal of property, plant and equipment</t>
  </si>
  <si>
    <t>Acquisition of intangible assets</t>
  </si>
  <si>
    <t>Treasury shares</t>
  </si>
  <si>
    <t>30 September 2012</t>
  </si>
  <si>
    <t>AS AT 30 SEPTEMBER 2012</t>
  </si>
  <si>
    <t>FOR THE THIRD QUARTER ENDED 30 SEPTEMBER 2012</t>
  </si>
  <si>
    <t>Balance as at 30 September 2012</t>
  </si>
  <si>
    <t>FOR THE FINANCIAL YEAR ENDED 30 SEPTEMBER 2012</t>
  </si>
  <si>
    <t>Period Ended                             30 September 2012</t>
  </si>
  <si>
    <t>Preceding year Corresponding                Period                                         30 September 2011</t>
  </si>
  <si>
    <t>30 September 2011</t>
  </si>
  <si>
    <t>30 June 2012</t>
  </si>
  <si>
    <t>Treasury Shares</t>
  </si>
  <si>
    <t>Dividend paid</t>
  </si>
  <si>
    <t>Purchase of treasury shares</t>
  </si>
  <si>
    <t>Purchase of Treasury Shares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</si>
</sst>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horizontal="justify" vertical="top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2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4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72" fontId="6" fillId="34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2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1" applyFont="1" applyAlignment="1">
      <alignment/>
    </xf>
    <xf numFmtId="0" fontId="51" fillId="0" borderId="0" xfId="57">
      <alignment/>
      <protection/>
    </xf>
    <xf numFmtId="0" fontId="78" fillId="0" borderId="0" xfId="57" applyFont="1">
      <alignment/>
      <protection/>
    </xf>
    <xf numFmtId="0" fontId="78" fillId="0" borderId="0" xfId="57" applyFont="1" applyAlignment="1">
      <alignment horizontal="right" vertical="top" wrapText="1"/>
      <protection/>
    </xf>
    <xf numFmtId="0" fontId="76" fillId="0" borderId="0" xfId="57" applyFont="1" applyAlignment="1">
      <alignment horizontal="right" vertical="top" wrapText="1"/>
      <protection/>
    </xf>
    <xf numFmtId="0" fontId="79" fillId="0" borderId="0" xfId="57" applyFont="1" applyAlignment="1">
      <alignment wrapText="1"/>
      <protection/>
    </xf>
    <xf numFmtId="0" fontId="76" fillId="0" borderId="0" xfId="57" applyFont="1">
      <alignment/>
      <protection/>
    </xf>
    <xf numFmtId="0" fontId="78" fillId="0" borderId="0" xfId="57" applyFont="1" applyAlignment="1">
      <alignment vertical="top" wrapText="1"/>
      <protection/>
    </xf>
    <xf numFmtId="0" fontId="76" fillId="0" borderId="0" xfId="57" applyFont="1" applyAlignment="1">
      <alignment vertical="top" wrapText="1"/>
      <protection/>
    </xf>
    <xf numFmtId="3" fontId="76" fillId="0" borderId="0" xfId="57" applyNumberFormat="1" applyFont="1" applyAlignment="1">
      <alignment horizontal="right" vertical="top" wrapText="1"/>
      <protection/>
    </xf>
    <xf numFmtId="3" fontId="76" fillId="0" borderId="10" xfId="57" applyNumberFormat="1" applyFont="1" applyBorder="1" applyAlignment="1">
      <alignment horizontal="right" vertical="top" wrapText="1"/>
      <protection/>
    </xf>
    <xf numFmtId="3" fontId="76" fillId="0" borderId="12" xfId="57" applyNumberFormat="1" applyFont="1" applyBorder="1" applyAlignment="1">
      <alignment horizontal="right" vertical="top" wrapText="1"/>
      <protection/>
    </xf>
    <xf numFmtId="0" fontId="79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43" fontId="14" fillId="0" borderId="0" xfId="0" applyNumberFormat="1" applyFont="1" applyAlignment="1">
      <alignment/>
    </xf>
    <xf numFmtId="172" fontId="14" fillId="0" borderId="0" xfId="42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41" fontId="5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2\HRB%20Sept%2012\HRB%20Consol%20%2009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3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2">
        <row r="12">
          <cell r="U12">
            <v>66061.44232</v>
          </cell>
        </row>
        <row r="13">
          <cell r="U13">
            <v>-38994.37113</v>
          </cell>
        </row>
        <row r="16">
          <cell r="U16">
            <v>1216.7133500000002</v>
          </cell>
        </row>
        <row r="18">
          <cell r="U18">
            <v>-16385.43247</v>
          </cell>
        </row>
        <row r="19">
          <cell r="U19">
            <v>-2150.7972900000004</v>
          </cell>
        </row>
        <row r="20">
          <cell r="U20">
            <v>-2186.43136</v>
          </cell>
        </row>
        <row r="25">
          <cell r="U25">
            <v>-1865.76756</v>
          </cell>
        </row>
        <row r="27">
          <cell r="U27">
            <v>-1299.243</v>
          </cell>
        </row>
        <row r="29">
          <cell r="U29">
            <v>22.06815704</v>
          </cell>
        </row>
        <row r="67">
          <cell r="U67">
            <v>61161.292960000006</v>
          </cell>
        </row>
        <row r="68">
          <cell r="U68">
            <v>2387</v>
          </cell>
        </row>
        <row r="69">
          <cell r="U69">
            <v>11958.692</v>
          </cell>
        </row>
        <row r="74">
          <cell r="U74">
            <v>373.969</v>
          </cell>
        </row>
        <row r="78">
          <cell r="U78">
            <v>5000</v>
          </cell>
        </row>
        <row r="79">
          <cell r="U79">
            <v>12097.432</v>
          </cell>
        </row>
        <row r="80">
          <cell r="U80">
            <v>9642</v>
          </cell>
        </row>
        <row r="81">
          <cell r="U81">
            <v>6075.95998</v>
          </cell>
        </row>
        <row r="82">
          <cell r="U82">
            <v>20713.044299999998</v>
          </cell>
        </row>
        <row r="84">
          <cell r="U84">
            <v>3833.1009</v>
          </cell>
        </row>
        <row r="85">
          <cell r="U85">
            <v>2376.655</v>
          </cell>
        </row>
        <row r="86">
          <cell r="U86">
            <v>7129.12162</v>
          </cell>
        </row>
        <row r="87">
          <cell r="U87">
            <v>13110.996</v>
          </cell>
        </row>
        <row r="88">
          <cell r="U88">
            <v>7395.850530000001</v>
          </cell>
        </row>
        <row r="89">
          <cell r="U89">
            <v>8731.70448</v>
          </cell>
        </row>
        <row r="104">
          <cell r="U104">
            <v>79999.99999999999</v>
          </cell>
        </row>
        <row r="105">
          <cell r="U105">
            <v>-66.31174</v>
          </cell>
        </row>
        <row r="107">
          <cell r="U107">
            <v>0</v>
          </cell>
        </row>
        <row r="108">
          <cell r="U108">
            <v>21712.044347040002</v>
          </cell>
        </row>
        <row r="111">
          <cell r="U111">
            <v>11.217842960000002</v>
          </cell>
        </row>
        <row r="116">
          <cell r="U116">
            <v>128</v>
          </cell>
        </row>
        <row r="117">
          <cell r="U117">
            <v>33383.72643</v>
          </cell>
        </row>
        <row r="118">
          <cell r="U118">
            <v>1723.5</v>
          </cell>
        </row>
        <row r="121">
          <cell r="U121">
            <v>0</v>
          </cell>
        </row>
        <row r="122">
          <cell r="U122">
            <v>12861.73157</v>
          </cell>
        </row>
        <row r="123">
          <cell r="U123">
            <v>9124.130329999998</v>
          </cell>
        </row>
        <row r="124">
          <cell r="U124">
            <v>93.85143</v>
          </cell>
        </row>
        <row r="125">
          <cell r="U125">
            <v>13013.48209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9.12"/>
      <sheetName val="CBS03.11(RM)"/>
      <sheetName val="CBS12.11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W8">
            <v>5696</v>
          </cell>
        </row>
        <row r="21">
          <cell r="X21">
            <v>3210.7877200000003</v>
          </cell>
        </row>
        <row r="26">
          <cell r="W26">
            <v>-6394.213000000001</v>
          </cell>
        </row>
        <row r="27">
          <cell r="W27">
            <v>391.77602000000036</v>
          </cell>
        </row>
        <row r="28">
          <cell r="W28">
            <v>5225.1807</v>
          </cell>
        </row>
        <row r="29">
          <cell r="W29">
            <v>-15.886000000000422</v>
          </cell>
        </row>
        <row r="30">
          <cell r="W30">
            <v>375.4701000000002</v>
          </cell>
        </row>
        <row r="34">
          <cell r="W34">
            <v>487.1405699999983</v>
          </cell>
        </row>
        <row r="35">
          <cell r="W35">
            <v>-151</v>
          </cell>
        </row>
        <row r="36">
          <cell r="W36">
            <v>-569.4086700000001</v>
          </cell>
        </row>
        <row r="43">
          <cell r="W43">
            <v>-221.86114</v>
          </cell>
        </row>
        <row r="44">
          <cell r="W44">
            <v>-1603.9874699999998</v>
          </cell>
        </row>
        <row r="45">
          <cell r="W45">
            <v>-1899.243</v>
          </cell>
        </row>
        <row r="51">
          <cell r="W51">
            <v>759.4935700000001</v>
          </cell>
        </row>
        <row r="52">
          <cell r="W52">
            <v>230.81763</v>
          </cell>
        </row>
        <row r="55">
          <cell r="W55">
            <v>-652.4639199999999</v>
          </cell>
        </row>
        <row r="56">
          <cell r="W56">
            <v>-11841.34497</v>
          </cell>
        </row>
        <row r="57">
          <cell r="W57">
            <v>61.87913</v>
          </cell>
        </row>
        <row r="58">
          <cell r="W58">
            <v>-3482.5125</v>
          </cell>
        </row>
        <row r="64">
          <cell r="W64">
            <v>1345</v>
          </cell>
        </row>
        <row r="65">
          <cell r="W65">
            <v>-12.96343</v>
          </cell>
        </row>
        <row r="66">
          <cell r="W66">
            <v>-808.3509</v>
          </cell>
        </row>
        <row r="67">
          <cell r="W67">
            <v>-22.489</v>
          </cell>
        </row>
        <row r="68">
          <cell r="W68">
            <v>-3786.21687</v>
          </cell>
        </row>
        <row r="71">
          <cell r="W71">
            <v>-66.31174</v>
          </cell>
        </row>
        <row r="72">
          <cell r="W72">
            <v>-1600</v>
          </cell>
        </row>
        <row r="82">
          <cell r="W82">
            <v>32961.051999999996</v>
          </cell>
        </row>
        <row r="89">
          <cell r="W89">
            <v>7129</v>
          </cell>
        </row>
        <row r="90">
          <cell r="W90">
            <v>13110.7655</v>
          </cell>
        </row>
        <row r="91">
          <cell r="W91">
            <v>7396.05282</v>
          </cell>
        </row>
        <row r="92">
          <cell r="W92">
            <v>8732</v>
          </cell>
        </row>
        <row r="93">
          <cell r="W93">
            <v>-5641.48209</v>
          </cell>
        </row>
        <row r="95">
          <cell r="W95">
            <v>-13110.7655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M44" sqref="M4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7109375" style="0" hidden="1" customWidth="1"/>
    <col min="4" max="4" width="19.8515625" style="0" hidden="1" customWidth="1"/>
    <col min="5" max="5" width="20.140625" style="0" hidden="1" customWidth="1"/>
    <col min="6" max="6" width="4.00390625" style="189" hidden="1" customWidth="1"/>
    <col min="7" max="8" width="20.140625" style="0" hidden="1" customWidth="1"/>
    <col min="9" max="9" width="3.140625" style="0" customWidth="1"/>
    <col min="10" max="10" width="21.8515625" style="0" customWidth="1"/>
    <col min="11" max="11" width="21.00390625" style="0" customWidth="1"/>
    <col min="12" max="12" width="3.7109375" style="0" customWidth="1"/>
    <col min="13" max="14" width="22.140625" style="0" customWidth="1"/>
    <col min="15" max="15" width="4.140625" style="0" customWidth="1"/>
    <col min="16" max="16" width="16.57421875" style="0" customWidth="1"/>
    <col min="17" max="17" width="5.8515625" style="0" hidden="1" customWidth="1"/>
    <col min="18" max="18" width="5.7109375" style="0" hidden="1" customWidth="1"/>
    <col min="19" max="19" width="17.28125" style="0" hidden="1" customWidth="1"/>
    <col min="20" max="25" width="9.140625" style="0" hidden="1" customWidth="1"/>
  </cols>
  <sheetData>
    <row r="1" ht="20.25">
      <c r="B1" s="6" t="s">
        <v>122</v>
      </c>
    </row>
    <row r="2" ht="12.75">
      <c r="B2" s="2"/>
    </row>
    <row r="3" spans="2:6" s="51" customFormat="1" ht="15">
      <c r="B3" s="16" t="s">
        <v>217</v>
      </c>
      <c r="F3" s="190"/>
    </row>
    <row r="4" spans="2:15" s="51" customFormat="1" ht="15">
      <c r="B4" s="16" t="s">
        <v>266</v>
      </c>
      <c r="F4" s="190"/>
      <c r="O4" s="85"/>
    </row>
    <row r="5" spans="2:15" s="51" customFormat="1" ht="15">
      <c r="B5" s="86"/>
      <c r="F5" s="190"/>
      <c r="O5" s="85"/>
    </row>
    <row r="6" spans="2:15" s="51" customFormat="1" ht="21" thickBot="1">
      <c r="B6" s="16"/>
      <c r="F6" s="190"/>
      <c r="M6" s="122"/>
      <c r="N6" s="178"/>
      <c r="O6" s="85"/>
    </row>
    <row r="7" spans="4:15" s="51" customFormat="1" ht="15.75" thickBot="1">
      <c r="D7" s="243" t="s">
        <v>85</v>
      </c>
      <c r="E7" s="244"/>
      <c r="F7" s="171"/>
      <c r="G7" s="243" t="s">
        <v>85</v>
      </c>
      <c r="H7" s="244"/>
      <c r="I7" s="171"/>
      <c r="J7" s="243" t="s">
        <v>85</v>
      </c>
      <c r="K7" s="244"/>
      <c r="M7" s="243" t="s">
        <v>124</v>
      </c>
      <c r="N7" s="244"/>
      <c r="O7" s="60"/>
    </row>
    <row r="8" spans="3:15" s="51" customFormat="1" ht="12.75" customHeight="1">
      <c r="C8" s="55"/>
      <c r="D8" s="240" t="s">
        <v>138</v>
      </c>
      <c r="E8" s="240" t="s">
        <v>229</v>
      </c>
      <c r="F8" s="56"/>
      <c r="G8" s="240" t="s">
        <v>138</v>
      </c>
      <c r="H8" s="240" t="s">
        <v>229</v>
      </c>
      <c r="I8" s="56"/>
      <c r="J8" s="240" t="s">
        <v>138</v>
      </c>
      <c r="K8" s="240" t="s">
        <v>229</v>
      </c>
      <c r="L8" s="55"/>
      <c r="M8" s="240" t="s">
        <v>232</v>
      </c>
      <c r="N8" s="240" t="s">
        <v>228</v>
      </c>
      <c r="O8" s="60"/>
    </row>
    <row r="9" spans="3:15" s="51" customFormat="1" ht="15">
      <c r="C9" s="55"/>
      <c r="D9" s="241"/>
      <c r="E9" s="242"/>
      <c r="F9" s="190"/>
      <c r="G9" s="241"/>
      <c r="H9" s="242"/>
      <c r="J9" s="241"/>
      <c r="K9" s="242"/>
      <c r="L9" s="55"/>
      <c r="M9" s="241"/>
      <c r="N9" s="242"/>
      <c r="O9" s="60"/>
    </row>
    <row r="10" spans="3:15" s="51" customFormat="1" ht="15">
      <c r="C10" s="55"/>
      <c r="D10" s="241"/>
      <c r="E10" s="242"/>
      <c r="F10" s="190"/>
      <c r="G10" s="241"/>
      <c r="H10" s="242"/>
      <c r="J10" s="241"/>
      <c r="K10" s="242"/>
      <c r="L10" s="55"/>
      <c r="M10" s="241"/>
      <c r="N10" s="242"/>
      <c r="O10" s="60"/>
    </row>
    <row r="11" spans="3:15" s="51" customFormat="1" ht="31.5" customHeight="1">
      <c r="C11" s="55"/>
      <c r="D11" s="241"/>
      <c r="E11" s="242"/>
      <c r="F11" s="190"/>
      <c r="G11" s="241"/>
      <c r="H11" s="242"/>
      <c r="J11" s="241"/>
      <c r="K11" s="242"/>
      <c r="L11" s="55"/>
      <c r="M11" s="241"/>
      <c r="N11" s="242"/>
      <c r="O11" s="60"/>
    </row>
    <row r="12" spans="3:19" s="51" customFormat="1" ht="15">
      <c r="C12" s="58"/>
      <c r="D12" s="57" t="s">
        <v>246</v>
      </c>
      <c r="E12" s="57" t="s">
        <v>247</v>
      </c>
      <c r="F12" s="219"/>
      <c r="G12" s="57" t="s">
        <v>272</v>
      </c>
      <c r="H12" s="57" t="s">
        <v>259</v>
      </c>
      <c r="I12" s="57"/>
      <c r="J12" s="57" t="s">
        <v>264</v>
      </c>
      <c r="K12" s="57" t="s">
        <v>271</v>
      </c>
      <c r="L12" s="58"/>
      <c r="M12" s="57" t="s">
        <v>264</v>
      </c>
      <c r="N12" s="57" t="s">
        <v>271</v>
      </c>
      <c r="O12" s="60"/>
      <c r="S12" s="128" t="s">
        <v>139</v>
      </c>
    </row>
    <row r="13" spans="3:19" s="51" customFormat="1" ht="15">
      <c r="C13" s="58"/>
      <c r="D13" s="58" t="s">
        <v>0</v>
      </c>
      <c r="E13" s="58" t="s">
        <v>0</v>
      </c>
      <c r="F13" s="220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58"/>
      <c r="M13" s="58" t="s">
        <v>0</v>
      </c>
      <c r="N13" s="58" t="s">
        <v>0</v>
      </c>
      <c r="O13" s="60"/>
      <c r="S13" s="102" t="s">
        <v>0</v>
      </c>
    </row>
    <row r="14" spans="3:19" s="51" customFormat="1" ht="15">
      <c r="C14" s="58"/>
      <c r="D14" s="58"/>
      <c r="E14" s="58"/>
      <c r="F14" s="220"/>
      <c r="G14" s="58"/>
      <c r="H14" s="58"/>
      <c r="I14" s="58"/>
      <c r="J14" s="58"/>
      <c r="K14" s="58"/>
      <c r="L14" s="58"/>
      <c r="N14" s="58"/>
      <c r="S14" s="102"/>
    </row>
    <row r="15" spans="2:19" s="51" customFormat="1" ht="15">
      <c r="B15" s="16" t="s">
        <v>1</v>
      </c>
      <c r="C15" s="59"/>
      <c r="D15" s="129">
        <v>19782</v>
      </c>
      <c r="E15" s="129">
        <v>16439</v>
      </c>
      <c r="F15" s="202"/>
      <c r="G15" s="129">
        <v>23812</v>
      </c>
      <c r="H15" s="129">
        <v>21945</v>
      </c>
      <c r="I15" s="129"/>
      <c r="J15" s="129">
        <f>M15-D15-G15</f>
        <v>22467.442320000002</v>
      </c>
      <c r="K15" s="129">
        <f>N15-E15-H15+1</f>
        <v>23218</v>
      </c>
      <c r="L15" s="59"/>
      <c r="M15" s="129">
        <f>'[5]1conso-YTD'!$U$12</f>
        <v>66061.44232</v>
      </c>
      <c r="N15" s="129">
        <v>61601</v>
      </c>
      <c r="O15" s="60"/>
      <c r="S15" s="102">
        <v>23670.793759999993</v>
      </c>
    </row>
    <row r="16" spans="3:19" s="51" customFormat="1" ht="14.25">
      <c r="C16" s="59"/>
      <c r="D16" s="129"/>
      <c r="E16" s="129"/>
      <c r="F16" s="202"/>
      <c r="G16" s="129"/>
      <c r="H16" s="129"/>
      <c r="I16" s="129"/>
      <c r="J16" s="129"/>
      <c r="K16" s="129"/>
      <c r="L16" s="59"/>
      <c r="M16" s="129"/>
      <c r="N16" s="129"/>
      <c r="O16" s="60"/>
      <c r="S16" s="102"/>
    </row>
    <row r="17" spans="2:19" s="51" customFormat="1" ht="14.25">
      <c r="B17" s="51" t="s">
        <v>31</v>
      </c>
      <c r="C17" s="59"/>
      <c r="D17" s="129">
        <v>-11190</v>
      </c>
      <c r="E17" s="129">
        <v>-9507</v>
      </c>
      <c r="F17" s="202"/>
      <c r="G17" s="129">
        <v>-14545</v>
      </c>
      <c r="H17" s="129">
        <v>-11491</v>
      </c>
      <c r="I17" s="129"/>
      <c r="J17" s="129">
        <f>M17-D17-G17</f>
        <v>-13259.37113</v>
      </c>
      <c r="K17" s="129">
        <f>N17-E17-H17-1</f>
        <v>-14324</v>
      </c>
      <c r="L17" s="59"/>
      <c r="M17" s="129">
        <f>'[5]1conso-YTD'!$U$13</f>
        <v>-38994.37113</v>
      </c>
      <c r="N17" s="129">
        <v>-35321</v>
      </c>
      <c r="O17" s="60"/>
      <c r="S17" s="102">
        <v>-11784.867779999999</v>
      </c>
    </row>
    <row r="18" spans="2:19" s="51" customFormat="1" ht="14.25">
      <c r="B18" s="60"/>
      <c r="C18" s="59"/>
      <c r="D18" s="172"/>
      <c r="E18" s="172"/>
      <c r="F18" s="176"/>
      <c r="G18" s="172"/>
      <c r="H18" s="172"/>
      <c r="I18" s="176"/>
      <c r="J18" s="172"/>
      <c r="K18" s="172"/>
      <c r="L18" s="59"/>
      <c r="M18" s="133"/>
      <c r="N18" s="172"/>
      <c r="O18" s="60"/>
      <c r="S18" s="102"/>
    </row>
    <row r="19" spans="2:21" s="51" customFormat="1" ht="15">
      <c r="B19" s="61" t="s">
        <v>32</v>
      </c>
      <c r="C19" s="59"/>
      <c r="D19" s="129">
        <f>SUM(D15:D18)</f>
        <v>8592</v>
      </c>
      <c r="E19" s="129">
        <f>SUM(E15:E18)</f>
        <v>6932</v>
      </c>
      <c r="F19" s="202"/>
      <c r="G19" s="129">
        <f>SUM(G15:G18)</f>
        <v>9267</v>
      </c>
      <c r="H19" s="129">
        <f>SUM(H15:H18)</f>
        <v>10454</v>
      </c>
      <c r="I19" s="129"/>
      <c r="J19" s="129">
        <f>SUM(J15:J18)</f>
        <v>9208.071190000002</v>
      </c>
      <c r="K19" s="129">
        <f>SUM(K15:K18)</f>
        <v>8894</v>
      </c>
      <c r="L19" s="59"/>
      <c r="M19" s="129">
        <f>+M15+M17</f>
        <v>27067.071190000002</v>
      </c>
      <c r="N19" s="202">
        <f>SUM(N15:N17)</f>
        <v>26280</v>
      </c>
      <c r="O19" s="60"/>
      <c r="Q19" s="137" t="e">
        <f>#REF!/#REF!</f>
        <v>#REF!</v>
      </c>
      <c r="R19" s="137">
        <f>M19/M15</f>
        <v>0.4097257074540967</v>
      </c>
      <c r="S19" s="102">
        <v>11885.925979999995</v>
      </c>
      <c r="U19" s="61" t="s">
        <v>32</v>
      </c>
    </row>
    <row r="20" spans="3:19" s="51" customFormat="1" ht="14.25">
      <c r="C20" s="59"/>
      <c r="D20" s="132"/>
      <c r="E20" s="132"/>
      <c r="F20" s="176"/>
      <c r="G20" s="132"/>
      <c r="H20" s="132"/>
      <c r="I20" s="132"/>
      <c r="J20" s="132"/>
      <c r="K20" s="132"/>
      <c r="L20" s="59"/>
      <c r="M20" s="132"/>
      <c r="N20" s="132"/>
      <c r="O20" s="60"/>
      <c r="S20" s="102"/>
    </row>
    <row r="21" spans="2:21" s="51" customFormat="1" ht="12.75" customHeight="1">
      <c r="B21" s="51" t="s">
        <v>50</v>
      </c>
      <c r="C21" s="59"/>
      <c r="D21" s="129">
        <v>620</v>
      </c>
      <c r="E21" s="129">
        <v>431</v>
      </c>
      <c r="F21" s="202"/>
      <c r="G21" s="129">
        <v>221</v>
      </c>
      <c r="H21" s="129">
        <v>300</v>
      </c>
      <c r="I21" s="129"/>
      <c r="J21" s="129">
        <f>M21-D21-G21</f>
        <v>375.7133500000002</v>
      </c>
      <c r="K21" s="129">
        <f>N21-E21-H21</f>
        <v>151</v>
      </c>
      <c r="L21" s="59"/>
      <c r="M21" s="129">
        <f>'[5]1conso-YTD'!$U$16</f>
        <v>1216.7133500000002</v>
      </c>
      <c r="N21" s="129">
        <v>882</v>
      </c>
      <c r="O21" s="87"/>
      <c r="S21" s="102">
        <v>1358.941480000004</v>
      </c>
      <c r="U21" s="51" t="s">
        <v>50</v>
      </c>
    </row>
    <row r="22" spans="3:19" s="51" customFormat="1" ht="12.75" customHeight="1">
      <c r="C22" s="59"/>
      <c r="D22" s="132"/>
      <c r="E22" s="129"/>
      <c r="F22" s="202"/>
      <c r="G22" s="129"/>
      <c r="H22" s="129"/>
      <c r="I22" s="129"/>
      <c r="J22" s="129"/>
      <c r="K22" s="129"/>
      <c r="L22" s="59"/>
      <c r="M22" s="129"/>
      <c r="N22" s="129"/>
      <c r="O22" s="87"/>
      <c r="S22" s="102"/>
    </row>
    <row r="23" spans="2:21" s="51" customFormat="1" ht="12.75" customHeight="1">
      <c r="B23" s="51" t="s">
        <v>136</v>
      </c>
      <c r="C23" s="59"/>
      <c r="D23" s="129">
        <v>-5393</v>
      </c>
      <c r="E23" s="129">
        <v>-4720</v>
      </c>
      <c r="F23" s="202"/>
      <c r="G23" s="129">
        <v>-5882</v>
      </c>
      <c r="H23" s="129">
        <v>-5067</v>
      </c>
      <c r="I23" s="129"/>
      <c r="J23" s="129">
        <f>M23-D23-G23</f>
        <v>-6701.229760000002</v>
      </c>
      <c r="K23" s="129">
        <f>N23-E23-H23</f>
        <v>-4873</v>
      </c>
      <c r="L23" s="59"/>
      <c r="M23" s="129">
        <f>'[5]1conso-YTD'!$U$18+'[5]1conso-YTD'!$U$19+560</f>
        <v>-17976.229760000002</v>
      </c>
      <c r="N23" s="129">
        <v>-14660</v>
      </c>
      <c r="O23" s="87"/>
      <c r="S23" s="102">
        <v>-4046.5124700000015</v>
      </c>
      <c r="U23" s="51" t="s">
        <v>136</v>
      </c>
    </row>
    <row r="24" spans="3:19" s="51" customFormat="1" ht="12.75" customHeight="1">
      <c r="C24" s="59"/>
      <c r="D24" s="132"/>
      <c r="E24" s="132"/>
      <c r="F24" s="176"/>
      <c r="G24" s="132"/>
      <c r="H24" s="132"/>
      <c r="I24" s="132"/>
      <c r="J24" s="132"/>
      <c r="K24" s="132"/>
      <c r="L24" s="59"/>
      <c r="M24" s="129"/>
      <c r="N24" s="129"/>
      <c r="O24" s="87"/>
      <c r="S24" s="102"/>
    </row>
    <row r="25" spans="2:21" s="51" customFormat="1" ht="12.75" customHeight="1">
      <c r="B25" s="51" t="s">
        <v>135</v>
      </c>
      <c r="C25" s="59"/>
      <c r="D25" s="129">
        <v>-737</v>
      </c>
      <c r="E25" s="129">
        <v>-1027</v>
      </c>
      <c r="F25" s="202"/>
      <c r="G25" s="129">
        <v>-727</v>
      </c>
      <c r="H25" s="129">
        <v>-1014</v>
      </c>
      <c r="I25" s="129"/>
      <c r="J25" s="129">
        <f>M25-D25-G25</f>
        <v>-722.43136</v>
      </c>
      <c r="K25" s="129">
        <f>N25-E25-H25</f>
        <v>-933</v>
      </c>
      <c r="L25" s="59"/>
      <c r="M25" s="129">
        <f>'[5]1conso-YTD'!$U$20</f>
        <v>-2186.43136</v>
      </c>
      <c r="N25" s="129">
        <v>-2974</v>
      </c>
      <c r="O25" s="87"/>
      <c r="S25" s="102">
        <v>-681.92669</v>
      </c>
      <c r="U25" s="51" t="s">
        <v>135</v>
      </c>
    </row>
    <row r="26" spans="2:21" s="51" customFormat="1" ht="14.25">
      <c r="B26" s="64"/>
      <c r="C26" s="59"/>
      <c r="D26" s="132"/>
      <c r="E26" s="129"/>
      <c r="F26" s="202"/>
      <c r="G26" s="129"/>
      <c r="H26" s="129"/>
      <c r="I26" s="129"/>
      <c r="J26" s="129"/>
      <c r="K26" s="129"/>
      <c r="L26" s="59"/>
      <c r="M26" s="129"/>
      <c r="N26" s="129"/>
      <c r="O26" s="60"/>
      <c r="S26" s="102"/>
      <c r="U26" s="64"/>
    </row>
    <row r="27" spans="2:21" s="51" customFormat="1" ht="14.25">
      <c r="B27" s="51" t="s">
        <v>51</v>
      </c>
      <c r="C27" s="63"/>
      <c r="D27" s="129">
        <v>-587</v>
      </c>
      <c r="E27" s="129">
        <v>-405</v>
      </c>
      <c r="F27" s="202"/>
      <c r="G27" s="129">
        <v>-758</v>
      </c>
      <c r="H27" s="129">
        <v>-565</v>
      </c>
      <c r="I27" s="129"/>
      <c r="J27" s="129">
        <f>M27-D27-G27</f>
        <v>-520.76756</v>
      </c>
      <c r="K27" s="129">
        <f>N27-E27-H27-1</f>
        <v>-505</v>
      </c>
      <c r="L27" s="63"/>
      <c r="M27" s="129">
        <f>'[5]1conso-YTD'!$U$25</f>
        <v>-1865.76756</v>
      </c>
      <c r="N27" s="129">
        <v>-1474</v>
      </c>
      <c r="O27" s="60"/>
      <c r="S27" s="102">
        <v>-937.79819</v>
      </c>
      <c r="U27" s="51" t="s">
        <v>51</v>
      </c>
    </row>
    <row r="28" spans="3:19" s="51" customFormat="1" ht="14.25">
      <c r="C28" s="59"/>
      <c r="D28" s="133"/>
      <c r="E28" s="133"/>
      <c r="F28" s="176"/>
      <c r="G28" s="133"/>
      <c r="H28" s="133"/>
      <c r="I28" s="132"/>
      <c r="J28" s="133"/>
      <c r="K28" s="133"/>
      <c r="L28" s="59"/>
      <c r="M28" s="133"/>
      <c r="N28" s="133"/>
      <c r="O28" s="87"/>
      <c r="S28" s="102"/>
    </row>
    <row r="29" spans="2:22" s="51" customFormat="1" ht="15">
      <c r="B29" s="16" t="s">
        <v>127</v>
      </c>
      <c r="C29" s="59"/>
      <c r="D29" s="129">
        <f>SUM(D19:D28)</f>
        <v>2495</v>
      </c>
      <c r="E29" s="129">
        <f>SUM(E19:E28)</f>
        <v>1211</v>
      </c>
      <c r="F29" s="202"/>
      <c r="G29" s="129">
        <f>SUM(G19:G28)</f>
        <v>2121</v>
      </c>
      <c r="H29" s="129">
        <f>SUM(H19:H28)</f>
        <v>4108</v>
      </c>
      <c r="I29" s="129"/>
      <c r="J29" s="129">
        <f>SUM(J19:J28)+1</f>
        <v>1640.3558600000003</v>
      </c>
      <c r="K29" s="129">
        <f>SUM(K19:K28)</f>
        <v>2734</v>
      </c>
      <c r="L29" s="59"/>
      <c r="M29" s="129">
        <f>SUM(M19:M27)+1</f>
        <v>6256.3558600000015</v>
      </c>
      <c r="N29" s="129">
        <f>SUM(N19:N28)</f>
        <v>8054</v>
      </c>
      <c r="O29" s="60"/>
      <c r="Q29" s="137" t="e">
        <f>#REF!/#REF!</f>
        <v>#REF!</v>
      </c>
      <c r="R29" s="137">
        <f>M29/M15</f>
        <v>0.0947051054334292</v>
      </c>
      <c r="S29" s="102">
        <v>7577.630109999996</v>
      </c>
      <c r="U29" s="16" t="s">
        <v>127</v>
      </c>
      <c r="V29" s="115"/>
    </row>
    <row r="30" spans="3:19" s="51" customFormat="1" ht="14.25">
      <c r="C30" s="59"/>
      <c r="D30" s="129"/>
      <c r="E30" s="129"/>
      <c r="F30" s="202"/>
      <c r="G30" s="129"/>
      <c r="H30" s="129"/>
      <c r="I30" s="129"/>
      <c r="J30" s="129"/>
      <c r="K30" s="129"/>
      <c r="L30" s="59"/>
      <c r="M30" s="129"/>
      <c r="N30" s="129"/>
      <c r="O30" s="60"/>
      <c r="S30" s="102"/>
    </row>
    <row r="31" spans="2:21" s="51" customFormat="1" ht="14.25">
      <c r="B31" s="51" t="s">
        <v>33</v>
      </c>
      <c r="C31" s="59"/>
      <c r="D31" s="129">
        <v>-860</v>
      </c>
      <c r="E31" s="129">
        <v>-206</v>
      </c>
      <c r="F31" s="202"/>
      <c r="G31" s="129">
        <v>-250</v>
      </c>
      <c r="H31" s="129">
        <v>-1072</v>
      </c>
      <c r="I31" s="129"/>
      <c r="J31" s="129">
        <f>M31-D31-G31</f>
        <v>-189.24299999999994</v>
      </c>
      <c r="K31" s="129">
        <f>N31-E31-H31</f>
        <v>-695</v>
      </c>
      <c r="L31" s="59"/>
      <c r="M31" s="129">
        <f>'[5]1conso-YTD'!$U$27</f>
        <v>-1299.243</v>
      </c>
      <c r="N31" s="129">
        <v>-1973</v>
      </c>
      <c r="O31" s="60"/>
      <c r="S31" s="102">
        <v>-1821.0964013993403</v>
      </c>
      <c r="U31" s="51" t="s">
        <v>33</v>
      </c>
    </row>
    <row r="32" spans="3:19" s="51" customFormat="1" ht="14.25">
      <c r="C32" s="59"/>
      <c r="D32" s="132"/>
      <c r="E32" s="132"/>
      <c r="F32" s="176"/>
      <c r="G32" s="132"/>
      <c r="H32" s="132"/>
      <c r="I32" s="132"/>
      <c r="J32" s="132"/>
      <c r="K32" s="132"/>
      <c r="L32" s="59"/>
      <c r="M32" s="133"/>
      <c r="N32" s="133"/>
      <c r="O32" s="87"/>
      <c r="S32" s="102"/>
    </row>
    <row r="33" spans="2:21" s="51" customFormat="1" ht="15.75" thickBot="1">
      <c r="B33" s="16" t="s">
        <v>128</v>
      </c>
      <c r="C33" s="59"/>
      <c r="D33" s="130">
        <f>SUM(D29:D32)</f>
        <v>1635</v>
      </c>
      <c r="E33" s="130">
        <f>SUM(E29:E32)</f>
        <v>1005</v>
      </c>
      <c r="F33" s="176"/>
      <c r="G33" s="130">
        <f>SUM(G29:G32)</f>
        <v>1871</v>
      </c>
      <c r="H33" s="130">
        <f>SUM(H29:H32)</f>
        <v>3036</v>
      </c>
      <c r="I33" s="132"/>
      <c r="J33" s="130">
        <f>SUM(J29:J32)</f>
        <v>1451.1128600000004</v>
      </c>
      <c r="K33" s="130">
        <f>SUM(K29:K32)</f>
        <v>2039</v>
      </c>
      <c r="L33" s="59"/>
      <c r="M33" s="130">
        <f>SUM(M29:M32)</f>
        <v>4957.112860000001</v>
      </c>
      <c r="N33" s="130">
        <f>SUM(N29:N32)</f>
        <v>6081</v>
      </c>
      <c r="O33" s="60"/>
      <c r="Q33" s="137" t="e">
        <f>#REF!/#REF!</f>
        <v>#REF!</v>
      </c>
      <c r="R33" s="137">
        <f>M33/M15</f>
        <v>0.07503791449160115</v>
      </c>
      <c r="S33" s="102">
        <v>5756.533708600657</v>
      </c>
      <c r="U33" s="16" t="s">
        <v>128</v>
      </c>
    </row>
    <row r="34" spans="2:21" s="51" customFormat="1" ht="15.75" thickTop="1">
      <c r="B34" s="16"/>
      <c r="C34" s="59"/>
      <c r="D34" s="132"/>
      <c r="E34" s="132"/>
      <c r="F34" s="176"/>
      <c r="G34" s="132"/>
      <c r="H34" s="132"/>
      <c r="I34" s="132"/>
      <c r="J34" s="132"/>
      <c r="K34" s="132"/>
      <c r="L34" s="59"/>
      <c r="M34" s="132"/>
      <c r="N34" s="132"/>
      <c r="O34" s="60"/>
      <c r="Q34" s="137"/>
      <c r="R34" s="137"/>
      <c r="S34" s="102"/>
      <c r="U34" s="16"/>
    </row>
    <row r="35" spans="2:21" s="51" customFormat="1" ht="15">
      <c r="B35" s="16" t="s">
        <v>218</v>
      </c>
      <c r="C35" s="186"/>
      <c r="D35" s="185">
        <v>0</v>
      </c>
      <c r="E35" s="185">
        <v>0</v>
      </c>
      <c r="F35" s="221"/>
      <c r="G35" s="185">
        <v>0</v>
      </c>
      <c r="H35" s="129">
        <f>N35-E35</f>
        <v>0</v>
      </c>
      <c r="I35" s="129"/>
      <c r="J35" s="185">
        <v>0</v>
      </c>
      <c r="K35" s="225">
        <f>Q35-H35</f>
        <v>0</v>
      </c>
      <c r="L35" s="186"/>
      <c r="M35" s="185">
        <v>0</v>
      </c>
      <c r="N35" s="185">
        <v>0</v>
      </c>
      <c r="O35" s="60"/>
      <c r="Q35" s="137"/>
      <c r="R35" s="137"/>
      <c r="S35" s="102"/>
      <c r="U35" s="16"/>
    </row>
    <row r="36" spans="2:21" s="51" customFormat="1" ht="15">
      <c r="B36" s="16"/>
      <c r="C36" s="186"/>
      <c r="D36" s="185"/>
      <c r="E36" s="185"/>
      <c r="F36" s="221"/>
      <c r="G36" s="185"/>
      <c r="H36" s="185"/>
      <c r="I36" s="185"/>
      <c r="J36" s="185"/>
      <c r="K36" s="185"/>
      <c r="L36" s="186"/>
      <c r="M36" s="185"/>
      <c r="N36" s="185"/>
      <c r="O36" s="60"/>
      <c r="Q36" s="137"/>
      <c r="R36" s="137"/>
      <c r="S36" s="102"/>
      <c r="U36" s="16"/>
    </row>
    <row r="37" spans="2:21" s="51" customFormat="1" ht="15">
      <c r="B37" s="16" t="s">
        <v>219</v>
      </c>
      <c r="C37" s="186"/>
      <c r="D37" s="187">
        <f>SUM(D35:D36)</f>
        <v>0</v>
      </c>
      <c r="E37" s="187">
        <f>SUM(E35:E36)</f>
        <v>0</v>
      </c>
      <c r="F37" s="221"/>
      <c r="G37" s="187">
        <f>SUM(G35:G36)</f>
        <v>0</v>
      </c>
      <c r="H37" s="187"/>
      <c r="I37" s="185"/>
      <c r="J37" s="187">
        <f>SUM(J35:J36)</f>
        <v>0</v>
      </c>
      <c r="K37" s="187"/>
      <c r="L37" s="186"/>
      <c r="M37" s="187">
        <f>SUM(M35:M36)</f>
        <v>0</v>
      </c>
      <c r="N37" s="187">
        <v>0</v>
      </c>
      <c r="O37" s="60"/>
      <c r="Q37" s="137"/>
      <c r="R37" s="137"/>
      <c r="S37" s="102"/>
      <c r="U37" s="16"/>
    </row>
    <row r="38" spans="2:21" s="51" customFormat="1" ht="15">
      <c r="B38" s="16"/>
      <c r="C38" s="59"/>
      <c r="D38" s="132"/>
      <c r="E38" s="132"/>
      <c r="F38" s="176"/>
      <c r="G38" s="132"/>
      <c r="H38" s="132"/>
      <c r="I38" s="132"/>
      <c r="J38" s="132"/>
      <c r="K38" s="132"/>
      <c r="L38" s="59"/>
      <c r="M38" s="132"/>
      <c r="N38" s="132"/>
      <c r="O38" s="60"/>
      <c r="Q38" s="137"/>
      <c r="R38" s="137"/>
      <c r="S38" s="102"/>
      <c r="U38" s="16"/>
    </row>
    <row r="39" spans="2:21" s="51" customFormat="1" ht="15.75" thickBot="1">
      <c r="B39" s="16" t="s">
        <v>220</v>
      </c>
      <c r="C39" s="59"/>
      <c r="D39" s="134">
        <f>D33</f>
        <v>1635</v>
      </c>
      <c r="E39" s="134">
        <f>E33</f>
        <v>1005</v>
      </c>
      <c r="F39" s="176"/>
      <c r="G39" s="134">
        <f>G33</f>
        <v>1871</v>
      </c>
      <c r="H39" s="134">
        <f>H33</f>
        <v>3036</v>
      </c>
      <c r="I39" s="132"/>
      <c r="J39" s="134">
        <f>J33</f>
        <v>1451.1128600000004</v>
      </c>
      <c r="K39" s="134">
        <f>K33</f>
        <v>2039</v>
      </c>
      <c r="L39" s="59"/>
      <c r="M39" s="134">
        <f>M33</f>
        <v>4957.112860000001</v>
      </c>
      <c r="N39" s="134">
        <f>N33</f>
        <v>6081</v>
      </c>
      <c r="O39" s="60"/>
      <c r="Q39" s="137"/>
      <c r="R39" s="137"/>
      <c r="S39" s="102"/>
      <c r="U39" s="16"/>
    </row>
    <row r="40" spans="2:21" s="51" customFormat="1" ht="15.75" thickTop="1">
      <c r="B40" s="16"/>
      <c r="C40" s="59"/>
      <c r="D40" s="132"/>
      <c r="E40" s="132"/>
      <c r="F40" s="176"/>
      <c r="G40" s="132"/>
      <c r="H40" s="132"/>
      <c r="I40" s="132"/>
      <c r="J40" s="132"/>
      <c r="K40" s="132"/>
      <c r="L40" s="59"/>
      <c r="M40" s="132"/>
      <c r="N40" s="132"/>
      <c r="O40" s="60"/>
      <c r="Q40" s="137"/>
      <c r="R40" s="137"/>
      <c r="S40" s="102"/>
      <c r="U40" s="16"/>
    </row>
    <row r="41" spans="2:21" s="51" customFormat="1" ht="15">
      <c r="B41" s="16" t="s">
        <v>225</v>
      </c>
      <c r="C41" s="59"/>
      <c r="D41" s="132"/>
      <c r="E41" s="132"/>
      <c r="F41" s="176"/>
      <c r="G41" s="132"/>
      <c r="H41" s="132"/>
      <c r="I41" s="132"/>
      <c r="J41" s="132"/>
      <c r="K41" s="132"/>
      <c r="L41" s="59"/>
      <c r="M41" s="132"/>
      <c r="N41" s="132"/>
      <c r="O41" s="60"/>
      <c r="Q41" s="137"/>
      <c r="R41" s="137"/>
      <c r="S41" s="102"/>
      <c r="U41" s="16"/>
    </row>
    <row r="42" spans="2:21" s="51" customFormat="1" ht="15">
      <c r="B42" s="16"/>
      <c r="C42" s="59"/>
      <c r="D42" s="132"/>
      <c r="E42" s="132"/>
      <c r="F42" s="176"/>
      <c r="G42" s="132"/>
      <c r="H42" s="132"/>
      <c r="I42" s="132"/>
      <c r="J42" s="132"/>
      <c r="K42" s="132"/>
      <c r="L42" s="59"/>
      <c r="M42" s="132"/>
      <c r="N42" s="132"/>
      <c r="O42" s="60"/>
      <c r="Q42" s="137"/>
      <c r="R42" s="137"/>
      <c r="S42" s="102"/>
      <c r="U42" s="16"/>
    </row>
    <row r="43" spans="2:21" s="51" customFormat="1" ht="15">
      <c r="B43" s="51" t="s">
        <v>226</v>
      </c>
      <c r="C43" s="59"/>
      <c r="D43" s="129">
        <v>1699</v>
      </c>
      <c r="E43" s="129">
        <v>1007</v>
      </c>
      <c r="F43" s="202"/>
      <c r="G43" s="129">
        <v>1824</v>
      </c>
      <c r="H43" s="129">
        <v>3041</v>
      </c>
      <c r="I43" s="129"/>
      <c r="J43" s="129">
        <v>1457</v>
      </c>
      <c r="K43" s="129">
        <v>2079</v>
      </c>
      <c r="L43" s="62"/>
      <c r="M43" s="176">
        <v>4979</v>
      </c>
      <c r="N43" s="176">
        <v>6128</v>
      </c>
      <c r="O43" s="60"/>
      <c r="Q43" s="137"/>
      <c r="R43" s="137"/>
      <c r="S43" s="102"/>
      <c r="U43" s="16"/>
    </row>
    <row r="44" spans="3:21" s="51" customFormat="1" ht="15">
      <c r="C44" s="59"/>
      <c r="D44" s="176"/>
      <c r="E44" s="176"/>
      <c r="F44" s="176"/>
      <c r="G44" s="176"/>
      <c r="H44" s="176"/>
      <c r="I44" s="176"/>
      <c r="J44" s="176"/>
      <c r="K44" s="176"/>
      <c r="L44" s="62"/>
      <c r="M44" s="176"/>
      <c r="N44" s="176"/>
      <c r="O44" s="60"/>
      <c r="Q44" s="137"/>
      <c r="R44" s="137"/>
      <c r="S44" s="102"/>
      <c r="U44" s="16"/>
    </row>
    <row r="45" spans="2:21" s="51" customFormat="1" ht="15">
      <c r="B45" s="51" t="s">
        <v>227</v>
      </c>
      <c r="C45" s="59"/>
      <c r="D45" s="129">
        <v>-64</v>
      </c>
      <c r="E45" s="129">
        <v>-2</v>
      </c>
      <c r="F45" s="202"/>
      <c r="G45" s="129">
        <v>48</v>
      </c>
      <c r="H45" s="129">
        <v>-5</v>
      </c>
      <c r="I45" s="129"/>
      <c r="J45" s="129">
        <f>M45-D45-G45</f>
        <v>-6.068157040000003</v>
      </c>
      <c r="K45" s="129">
        <v>-40</v>
      </c>
      <c r="L45" s="62"/>
      <c r="M45" s="202">
        <f>-'[5]1conso-YTD'!$U$29</f>
        <v>-22.06815704</v>
      </c>
      <c r="N45" s="202">
        <v>-47</v>
      </c>
      <c r="O45" s="60"/>
      <c r="Q45" s="137"/>
      <c r="R45" s="137"/>
      <c r="S45" s="102"/>
      <c r="U45" s="16"/>
    </row>
    <row r="46" spans="2:21" s="51" customFormat="1" ht="15">
      <c r="B46" s="16"/>
      <c r="C46" s="59"/>
      <c r="D46" s="176"/>
      <c r="E46" s="176"/>
      <c r="F46" s="176"/>
      <c r="G46" s="176"/>
      <c r="H46" s="176"/>
      <c r="I46" s="176"/>
      <c r="J46" s="176"/>
      <c r="K46" s="176"/>
      <c r="L46" s="62"/>
      <c r="M46" s="176"/>
      <c r="N46" s="176"/>
      <c r="O46" s="60"/>
      <c r="Q46" s="137"/>
      <c r="R46" s="137"/>
      <c r="S46" s="102"/>
      <c r="U46" s="16"/>
    </row>
    <row r="47" spans="2:21" s="51" customFormat="1" ht="15.75" thickBot="1">
      <c r="B47" s="51" t="s">
        <v>220</v>
      </c>
      <c r="C47" s="59"/>
      <c r="D47" s="204">
        <f>SUM(D43:D46)</f>
        <v>1635</v>
      </c>
      <c r="E47" s="204">
        <f>SUM(E43:E46)</f>
        <v>1005</v>
      </c>
      <c r="F47" s="176"/>
      <c r="G47" s="204">
        <f>SUM(G43:G46)</f>
        <v>1872</v>
      </c>
      <c r="H47" s="204">
        <f>SUM(H43:H46)</f>
        <v>3036</v>
      </c>
      <c r="I47" s="176"/>
      <c r="J47" s="204">
        <f>SUM(J43:J46)</f>
        <v>1450.93184296</v>
      </c>
      <c r="K47" s="204">
        <f>SUM(K43:K46)</f>
        <v>2039</v>
      </c>
      <c r="L47" s="62"/>
      <c r="M47" s="204">
        <f>SUM(M43:M46)</f>
        <v>4956.93184296</v>
      </c>
      <c r="N47" s="204">
        <f>SUM(N43:N46)</f>
        <v>6081</v>
      </c>
      <c r="O47" s="60"/>
      <c r="Q47" s="137"/>
      <c r="R47" s="137"/>
      <c r="S47" s="102"/>
      <c r="U47" s="16"/>
    </row>
    <row r="48" spans="3:21" s="51" customFormat="1" ht="15.75" thickTop="1">
      <c r="C48" s="59"/>
      <c r="D48" s="176"/>
      <c r="E48" s="205"/>
      <c r="F48" s="205"/>
      <c r="G48" s="205"/>
      <c r="H48" s="205"/>
      <c r="I48" s="205"/>
      <c r="J48" s="205"/>
      <c r="K48" s="205"/>
      <c r="L48" s="62"/>
      <c r="M48" s="176"/>
      <c r="N48" s="176"/>
      <c r="O48" s="60"/>
      <c r="Q48" s="137"/>
      <c r="R48" s="137"/>
      <c r="S48" s="102"/>
      <c r="U48" s="16"/>
    </row>
    <row r="49" spans="2:21" s="51" customFormat="1" ht="15">
      <c r="B49" s="16"/>
      <c r="C49" s="59"/>
      <c r="D49" s="176"/>
      <c r="E49" s="205"/>
      <c r="F49" s="205"/>
      <c r="G49" s="205"/>
      <c r="H49" s="205"/>
      <c r="I49" s="205"/>
      <c r="J49" s="205"/>
      <c r="K49" s="205"/>
      <c r="L49" s="62"/>
      <c r="M49" s="176"/>
      <c r="N49" s="176"/>
      <c r="O49" s="60"/>
      <c r="Q49" s="137"/>
      <c r="R49" s="137"/>
      <c r="S49" s="102"/>
      <c r="U49" s="16"/>
    </row>
    <row r="50" spans="2:15" s="51" customFormat="1" ht="14.25">
      <c r="B50" s="54" t="s">
        <v>145</v>
      </c>
      <c r="C50" s="59"/>
      <c r="D50" s="176"/>
      <c r="E50" s="205"/>
      <c r="F50" s="205"/>
      <c r="G50" s="205"/>
      <c r="H50" s="205"/>
      <c r="I50" s="205"/>
      <c r="J50" s="205"/>
      <c r="K50" s="205"/>
      <c r="L50" s="62"/>
      <c r="M50" s="205"/>
      <c r="N50" s="176"/>
      <c r="O50" s="87"/>
    </row>
    <row r="51" spans="2:15" s="51" customFormat="1" ht="14.25">
      <c r="B51" s="54" t="s">
        <v>146</v>
      </c>
      <c r="C51" s="62"/>
      <c r="D51" s="202">
        <f>M51</f>
        <v>159989</v>
      </c>
      <c r="E51" s="202">
        <v>90000</v>
      </c>
      <c r="F51" s="202"/>
      <c r="G51" s="202">
        <v>160000</v>
      </c>
      <c r="H51" s="202">
        <v>90000</v>
      </c>
      <c r="I51" s="202"/>
      <c r="J51" s="202">
        <v>159967</v>
      </c>
      <c r="K51" s="202">
        <v>157322</v>
      </c>
      <c r="L51" s="62"/>
      <c r="M51" s="176">
        <v>159989</v>
      </c>
      <c r="N51" s="202">
        <v>135128</v>
      </c>
      <c r="O51" s="87"/>
    </row>
    <row r="52" spans="2:15" s="51" customFormat="1" ht="14.25">
      <c r="B52" s="54"/>
      <c r="C52" s="62"/>
      <c r="D52" s="176"/>
      <c r="E52" s="176"/>
      <c r="F52" s="176"/>
      <c r="G52" s="176"/>
      <c r="H52" s="176"/>
      <c r="I52" s="176"/>
      <c r="J52" s="176"/>
      <c r="K52" s="176"/>
      <c r="L52" s="62"/>
      <c r="M52" s="176"/>
      <c r="N52" s="176"/>
      <c r="O52" s="87"/>
    </row>
    <row r="53" spans="2:15" s="51" customFormat="1" ht="14.25">
      <c r="B53" s="51" t="s">
        <v>221</v>
      </c>
      <c r="C53" s="62"/>
      <c r="D53" s="177">
        <f>D43/D51*100</f>
        <v>1.0619480089256137</v>
      </c>
      <c r="E53" s="177">
        <f>E43/E51*100</f>
        <v>1.1188888888888888</v>
      </c>
      <c r="F53" s="177"/>
      <c r="G53" s="177">
        <f>G43/G51*100</f>
        <v>1.1400000000000001</v>
      </c>
      <c r="H53" s="177">
        <f>H43/H51*100</f>
        <v>3.378888888888889</v>
      </c>
      <c r="I53" s="177"/>
      <c r="J53" s="177">
        <f>J43/J51*100</f>
        <v>0.910812855151375</v>
      </c>
      <c r="K53" s="177">
        <f>K43/K51*100</f>
        <v>1.321493497412949</v>
      </c>
      <c r="L53" s="62"/>
      <c r="M53" s="177">
        <f>M43/M51*100</f>
        <v>3.112088956115733</v>
      </c>
      <c r="N53" s="177">
        <f>N43/N51*100</f>
        <v>4.534959445858741</v>
      </c>
      <c r="O53" s="60"/>
    </row>
    <row r="54" spans="6:15" s="51" customFormat="1" ht="14.25">
      <c r="F54" s="190"/>
      <c r="N54" s="203"/>
      <c r="O54" s="60"/>
    </row>
    <row r="55" spans="3:15" s="51" customFormat="1" ht="14.25">
      <c r="C55" s="65"/>
      <c r="D55" s="65"/>
      <c r="E55" s="65"/>
      <c r="F55" s="222"/>
      <c r="G55" s="65"/>
      <c r="H55" s="65"/>
      <c r="I55" s="65"/>
      <c r="J55" s="65"/>
      <c r="K55" s="65"/>
      <c r="L55" s="65"/>
      <c r="M55" s="65"/>
      <c r="N55" s="65"/>
      <c r="O55" s="60"/>
    </row>
    <row r="56" spans="2:6" s="51" customFormat="1" ht="15">
      <c r="B56" s="66" t="s">
        <v>80</v>
      </c>
      <c r="F56" s="190"/>
    </row>
    <row r="57" spans="2:6" s="51" customFormat="1" ht="14.25">
      <c r="B57" s="51" t="s">
        <v>99</v>
      </c>
      <c r="F57" s="190"/>
    </row>
    <row r="58" spans="1:6" s="51" customFormat="1" ht="18">
      <c r="A58" s="120" t="s">
        <v>125</v>
      </c>
      <c r="B58" s="119" t="s">
        <v>140</v>
      </c>
      <c r="F58" s="190"/>
    </row>
    <row r="59" spans="1:6" s="51" customFormat="1" ht="18">
      <c r="A59" s="119"/>
      <c r="B59" s="121" t="s">
        <v>141</v>
      </c>
      <c r="F59" s="190"/>
    </row>
    <row r="60" spans="1:6" s="51" customFormat="1" ht="11.25" customHeight="1">
      <c r="A60" s="119"/>
      <c r="B60" s="119"/>
      <c r="F60" s="190"/>
    </row>
    <row r="61" spans="1:6" s="51" customFormat="1" ht="18">
      <c r="A61" s="118" t="s">
        <v>126</v>
      </c>
      <c r="B61" s="119" t="s">
        <v>222</v>
      </c>
      <c r="F61" s="190"/>
    </row>
    <row r="62" spans="1:6" s="51" customFormat="1" ht="18">
      <c r="A62" s="119"/>
      <c r="B62" s="119" t="s">
        <v>250</v>
      </c>
      <c r="F62" s="190"/>
    </row>
    <row r="63" spans="1:6" s="51" customFormat="1" ht="15.75" customHeight="1">
      <c r="A63" s="119"/>
      <c r="B63" s="119" t="s">
        <v>99</v>
      </c>
      <c r="F63" s="190"/>
    </row>
    <row r="64" spans="1:6" s="51" customFormat="1" ht="15.75" customHeight="1">
      <c r="A64" s="118"/>
      <c r="B64" s="119"/>
      <c r="F64" s="190"/>
    </row>
    <row r="65" spans="2:14" ht="16.5" customHeight="1">
      <c r="B65" s="119"/>
      <c r="C65" s="38"/>
      <c r="D65" s="38"/>
      <c r="E65" s="38"/>
      <c r="F65" s="223"/>
      <c r="G65" s="38"/>
      <c r="H65" s="38"/>
      <c r="I65" s="38"/>
      <c r="J65" s="38"/>
      <c r="K65" s="38"/>
      <c r="L65" s="38"/>
      <c r="M65" s="38"/>
      <c r="N65" s="38"/>
    </row>
    <row r="66" spans="2:14" ht="12.75">
      <c r="B66" s="38"/>
      <c r="C66" s="38"/>
      <c r="D66" s="38"/>
      <c r="E66" s="38"/>
      <c r="F66" s="223"/>
      <c r="G66" s="38"/>
      <c r="H66" s="38"/>
      <c r="I66" s="38"/>
      <c r="J66" s="38"/>
      <c r="K66" s="38"/>
      <c r="L66" s="38"/>
      <c r="M66" s="38"/>
      <c r="N66" s="38"/>
    </row>
    <row r="67" ht="12.75">
      <c r="N67" s="38"/>
    </row>
    <row r="94" spans="2:13" ht="12.75">
      <c r="B94" s="38"/>
      <c r="C94" s="38"/>
      <c r="D94" s="38"/>
      <c r="E94" s="38"/>
      <c r="F94" s="223"/>
      <c r="G94" s="38"/>
      <c r="H94" s="38"/>
      <c r="I94" s="38"/>
      <c r="J94" s="38"/>
      <c r="K94" s="38"/>
      <c r="L94" s="38"/>
      <c r="M94" s="116" t="e">
        <f>'[2]weighted avr share'!$O$36/1000</f>
        <v>#REF!</v>
      </c>
    </row>
  </sheetData>
  <sheetProtection/>
  <mergeCells count="12">
    <mergeCell ref="J8:J11"/>
    <mergeCell ref="K8:K11"/>
    <mergeCell ref="G8:G11"/>
    <mergeCell ref="H8:H11"/>
    <mergeCell ref="D8:D11"/>
    <mergeCell ref="E8:E11"/>
    <mergeCell ref="M7:N7"/>
    <mergeCell ref="M8:M11"/>
    <mergeCell ref="N8:N11"/>
    <mergeCell ref="D7:E7"/>
    <mergeCell ref="G7:H7"/>
    <mergeCell ref="J7:K7"/>
  </mergeCells>
  <printOptions gridLines="1"/>
  <pageMargins left="0.22" right="0.17" top="0.17" bottom="0.16" header="0.17" footer="0.1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154</v>
      </c>
      <c r="C1" s="138"/>
      <c r="D1" s="138"/>
    </row>
    <row r="2" spans="2:4" ht="15">
      <c r="B2" s="139" t="s">
        <v>155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156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157</v>
      </c>
      <c r="C9" s="145">
        <v>5</v>
      </c>
      <c r="D9" s="146">
        <v>2517123</v>
      </c>
    </row>
    <row r="10" spans="2:4" ht="15" thickBot="1">
      <c r="B10" s="145" t="s">
        <v>158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159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160</v>
      </c>
      <c r="C17" s="145">
        <v>8</v>
      </c>
      <c r="D17" s="146">
        <v>969346</v>
      </c>
    </row>
    <row r="18" spans="2:4" ht="14.25">
      <c r="B18" s="145" t="s">
        <v>161</v>
      </c>
      <c r="C18" s="145"/>
      <c r="D18" s="146">
        <v>641291</v>
      </c>
    </row>
    <row r="19" spans="2:4" ht="14.25">
      <c r="B19" s="145" t="s">
        <v>162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163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164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165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114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166</v>
      </c>
      <c r="C34" s="145">
        <v>14</v>
      </c>
      <c r="D34" s="146">
        <v>16586846</v>
      </c>
    </row>
    <row r="35" spans="2:4" ht="15" thickBot="1">
      <c r="B35" s="145" t="s">
        <v>116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167</v>
      </c>
      <c r="C38" s="145"/>
      <c r="D38" s="141"/>
    </row>
    <row r="39" spans="2:4" ht="14.25">
      <c r="B39" s="145" t="s">
        <v>168</v>
      </c>
      <c r="C39" s="145">
        <v>16</v>
      </c>
      <c r="D39" s="146">
        <v>8748757</v>
      </c>
    </row>
    <row r="40" spans="2:4" ht="14.25">
      <c r="B40" s="145" t="s">
        <v>117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166</v>
      </c>
      <c r="C42" s="145">
        <v>14</v>
      </c>
      <c r="D42" s="146">
        <v>14173873</v>
      </c>
    </row>
    <row r="43" spans="2:4" ht="15" thickBot="1">
      <c r="B43" s="145" t="s">
        <v>169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170</v>
      </c>
      <c r="C46" s="145"/>
      <c r="D46" s="147">
        <v>45309698</v>
      </c>
    </row>
    <row r="47" spans="2:4" ht="15.75" thickBot="1">
      <c r="B47" s="144" t="s">
        <v>171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40">
      <selection activeCell="E55" sqref="E55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5" t="str">
        <f>+'Income statement'!B1</f>
        <v>HANDAL RESOURCES  BERHAD (816839-X)</v>
      </c>
      <c r="C1" s="245"/>
      <c r="D1" s="245"/>
      <c r="E1" s="245"/>
      <c r="F1" s="245"/>
      <c r="G1" s="245"/>
      <c r="H1" s="245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215</v>
      </c>
      <c r="C3" s="68"/>
      <c r="D3" s="68"/>
      <c r="E3" s="68"/>
      <c r="F3" s="68"/>
      <c r="G3" s="68"/>
      <c r="H3" s="68"/>
    </row>
    <row r="4" s="69" customFormat="1" ht="15.75">
      <c r="B4" s="67" t="s">
        <v>265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264</v>
      </c>
      <c r="F8" s="70"/>
      <c r="G8" s="71" t="s">
        <v>244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'[5]1conso-YTD'!$U$67+'[5]1conso-YTD'!$U$68</f>
        <v>63548.292960000006</v>
      </c>
      <c r="F13" s="73"/>
      <c r="G13" s="106">
        <f>51402190/1000</f>
        <v>51402.19</v>
      </c>
      <c r="H13" s="74"/>
    </row>
    <row r="14" spans="2:8" s="69" customFormat="1" ht="12.75" customHeight="1">
      <c r="B14" s="72" t="s">
        <v>251</v>
      </c>
      <c r="C14" s="106"/>
      <c r="D14" s="73"/>
      <c r="E14" s="106">
        <f>'[5]1conso-YTD'!$U$69</f>
        <v>11958.692</v>
      </c>
      <c r="F14" s="73"/>
      <c r="G14" s="179">
        <f>11958567/1000</f>
        <v>11958.567</v>
      </c>
      <c r="H14" s="74"/>
    </row>
    <row r="15" spans="2:8" s="69" customFormat="1" ht="15.75" thickBot="1">
      <c r="B15" s="72" t="s">
        <v>150</v>
      </c>
      <c r="C15" s="107">
        <f>'[3]1conso-YTD'!$N$71</f>
        <v>373.97199</v>
      </c>
      <c r="D15" s="73"/>
      <c r="E15" s="107">
        <f>'[5]1conso-YTD'!$U$74</f>
        <v>373.969</v>
      </c>
      <c r="F15" s="73"/>
      <c r="G15" s="107">
        <f>373969/1000</f>
        <v>373.969</v>
      </c>
      <c r="H15" s="75"/>
    </row>
    <row r="16" spans="2:8" s="69" customFormat="1" ht="16.5" thickBot="1">
      <c r="B16" s="76"/>
      <c r="C16" s="107">
        <f>SUM(C13:C15)</f>
        <v>28052.738579999997</v>
      </c>
      <c r="D16" s="73"/>
      <c r="E16" s="114">
        <f>SUM(E13:E15)</f>
        <v>75880.95396</v>
      </c>
      <c r="F16" s="73"/>
      <c r="G16" s="107">
        <f>SUM(G13:G15)</f>
        <v>63734.725999999995</v>
      </c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">
      <c r="B18" s="72"/>
      <c r="C18" s="108"/>
      <c r="D18" s="77"/>
      <c r="E18" s="108"/>
      <c r="F18" s="77"/>
      <c r="G18" s="108"/>
      <c r="H18" s="75"/>
    </row>
    <row r="19" spans="2:8" s="69" customFormat="1" ht="15.75">
      <c r="B19" s="76" t="s">
        <v>4</v>
      </c>
      <c r="C19" s="108"/>
      <c r="D19" s="77"/>
      <c r="E19" s="108"/>
      <c r="F19" s="77"/>
      <c r="G19" s="108"/>
      <c r="H19" s="75"/>
    </row>
    <row r="20" spans="2:8" s="69" customFormat="1" ht="15">
      <c r="B20" s="75" t="s">
        <v>54</v>
      </c>
      <c r="C20" s="106">
        <f>'[3]1conso-YTD'!$N$75</f>
        <v>5239.74082</v>
      </c>
      <c r="D20" s="73"/>
      <c r="E20" s="106">
        <f>'[5]1conso-YTD'!$U$79</f>
        <v>12097.432</v>
      </c>
      <c r="F20" s="73"/>
      <c r="G20" s="106">
        <f>5703219/1000</f>
        <v>5703.219</v>
      </c>
      <c r="H20" s="75"/>
    </row>
    <row r="21" spans="2:8" s="69" customFormat="1" ht="15">
      <c r="B21" s="75" t="s">
        <v>53</v>
      </c>
      <c r="C21" s="106">
        <f>'[3]1conso-YTD'!$N$77</f>
        <v>17984.309699999994</v>
      </c>
      <c r="D21" s="73"/>
      <c r="E21" s="106">
        <f>'[5]1conso-YTD'!$U$81</f>
        <v>6075.95998</v>
      </c>
      <c r="F21" s="73"/>
      <c r="G21" s="106">
        <f>6467736/1000</f>
        <v>6467.736</v>
      </c>
      <c r="H21" s="75"/>
    </row>
    <row r="22" spans="2:8" s="69" customFormat="1" ht="15">
      <c r="B22" s="75" t="s">
        <v>113</v>
      </c>
      <c r="C22" s="106">
        <f>'[3]1conso-YTD'!$N$78</f>
        <v>18688.837959999997</v>
      </c>
      <c r="D22" s="73"/>
      <c r="E22" s="106">
        <f>'[5]1conso-YTD'!$U$82</f>
        <v>20713.044299999998</v>
      </c>
      <c r="F22" s="73"/>
      <c r="G22" s="106">
        <f>25614275/1000</f>
        <v>25614.275</v>
      </c>
      <c r="H22" s="75"/>
    </row>
    <row r="23" spans="2:8" s="69" customFormat="1" ht="15">
      <c r="B23" s="75" t="s">
        <v>252</v>
      </c>
      <c r="C23" s="106"/>
      <c r="D23" s="73"/>
      <c r="E23" s="106">
        <v>324</v>
      </c>
      <c r="F23" s="73"/>
      <c r="G23" s="106">
        <f>323950/1000</f>
        <v>323.95</v>
      </c>
      <c r="H23" s="75"/>
    </row>
    <row r="24" spans="2:8" s="69" customFormat="1" ht="15">
      <c r="B24" s="75" t="s">
        <v>253</v>
      </c>
      <c r="C24" s="106">
        <f>'[3]1conso-YTD'!$N$76</f>
        <v>199</v>
      </c>
      <c r="D24" s="73"/>
      <c r="E24" s="179">
        <f>'[5]1conso-YTD'!$U$80</f>
        <v>9642</v>
      </c>
      <c r="F24" s="73"/>
      <c r="G24" s="106">
        <f>9626114/1000</f>
        <v>9626.114</v>
      </c>
      <c r="H24" s="75"/>
    </row>
    <row r="25" spans="2:8" s="69" customFormat="1" ht="15">
      <c r="B25" s="75" t="s">
        <v>55</v>
      </c>
      <c r="C25" s="106">
        <f>'[3]1conso-YTD'!$N$80+'[3]1conso-YTD'!$N$81+750</f>
        <v>1382.37885</v>
      </c>
      <c r="D25" s="73"/>
      <c r="E25" s="106">
        <f>'[5]1conso-YTD'!$U$84+'[5]1conso-YTD'!$U$85-E23</f>
        <v>5885.7559</v>
      </c>
      <c r="F25" s="73"/>
      <c r="G25" s="106">
        <f>4420731/1000</f>
        <v>4420.731</v>
      </c>
      <c r="H25" s="75"/>
    </row>
    <row r="26" spans="2:8" s="69" customFormat="1" ht="15">
      <c r="B26" s="75" t="s">
        <v>254</v>
      </c>
      <c r="C26" s="106"/>
      <c r="D26" s="73"/>
      <c r="E26" s="217">
        <f>'[5]1conso-YTD'!$U$89</f>
        <v>8731.70448</v>
      </c>
      <c r="F26" s="73"/>
      <c r="G26" s="179">
        <f>17580655/1000</f>
        <v>17580.655</v>
      </c>
      <c r="H26" s="75"/>
    </row>
    <row r="27" spans="2:8" s="69" customFormat="1" ht="15">
      <c r="B27" s="75" t="s">
        <v>162</v>
      </c>
      <c r="C27" s="106">
        <f>'[3]1conso-YTD'!$N$82</f>
        <v>29349.86621</v>
      </c>
      <c r="D27" s="73"/>
      <c r="E27" s="106">
        <f>'[5]1conso-YTD'!$U$86</f>
        <v>7129.12162</v>
      </c>
      <c r="F27" s="73"/>
      <c r="G27" s="106">
        <f>7975341/1000</f>
        <v>7975.341</v>
      </c>
      <c r="H27" s="75"/>
    </row>
    <row r="28" spans="2:8" s="69" customFormat="1" ht="15">
      <c r="B28" s="75" t="s">
        <v>255</v>
      </c>
      <c r="C28" s="106"/>
      <c r="D28" s="73"/>
      <c r="E28" s="106">
        <f>'[5]1conso-YTD'!$U$87</f>
        <v>13110.996</v>
      </c>
      <c r="F28" s="73"/>
      <c r="G28" s="106">
        <f>12511893/1000</f>
        <v>12511.893</v>
      </c>
      <c r="H28" s="75"/>
    </row>
    <row r="29" spans="2:8" s="69" customFormat="1" ht="15.75" thickBot="1">
      <c r="B29" s="75" t="s">
        <v>147</v>
      </c>
      <c r="C29" s="117">
        <f>'[3]1conso-YTD'!$N$83</f>
        <v>3943.64952</v>
      </c>
      <c r="D29" s="73"/>
      <c r="E29" s="106">
        <f>'[5]1conso-YTD'!$U$88</f>
        <v>7395.850530000001</v>
      </c>
      <c r="F29" s="73"/>
      <c r="G29" s="106">
        <f>12247046/1000</f>
        <v>12247.046</v>
      </c>
      <c r="H29" s="75"/>
    </row>
    <row r="30" spans="2:8" s="69" customFormat="1" ht="15.75" thickBot="1">
      <c r="B30" s="72" t="s">
        <v>256</v>
      </c>
      <c r="C30" s="108"/>
      <c r="D30" s="77"/>
      <c r="E30" s="108">
        <f>'[5]1conso-YTD'!$U$78</f>
        <v>5000</v>
      </c>
      <c r="F30" s="77"/>
      <c r="G30" s="215">
        <f>5000000/1000</f>
        <v>5000</v>
      </c>
      <c r="H30" s="75"/>
    </row>
    <row r="31" spans="2:8" s="69" customFormat="1" ht="15.75" thickBot="1">
      <c r="B31" s="72"/>
      <c r="C31" s="107">
        <f>SUM(C20:C29)+0.5</f>
        <v>76788.28306</v>
      </c>
      <c r="D31" s="77"/>
      <c r="E31" s="114">
        <f>SUM(E20:E30)</f>
        <v>96105.86481</v>
      </c>
      <c r="F31" s="77"/>
      <c r="G31" s="107">
        <f>SUM(G20:G30)</f>
        <v>107470.95999999999</v>
      </c>
      <c r="H31" s="75"/>
    </row>
    <row r="32" spans="2:8" s="69" customFormat="1" ht="15">
      <c r="B32" s="72"/>
      <c r="C32" s="108"/>
      <c r="D32" s="77"/>
      <c r="E32" s="108"/>
      <c r="F32" s="77"/>
      <c r="G32" s="108"/>
      <c r="H32" s="75"/>
    </row>
    <row r="33" spans="2:8" s="69" customFormat="1" ht="16.5" thickBot="1">
      <c r="B33" s="76" t="s">
        <v>36</v>
      </c>
      <c r="C33" s="109">
        <f>+C31+C16</f>
        <v>104841.02163999999</v>
      </c>
      <c r="D33" s="77"/>
      <c r="E33" s="109">
        <f>+E31+E16</f>
        <v>171986.81877</v>
      </c>
      <c r="F33" s="77"/>
      <c r="G33" s="109">
        <f>G16+G31</f>
        <v>171205.686</v>
      </c>
      <c r="H33" s="75"/>
    </row>
    <row r="34" spans="2:8" s="69" customFormat="1" ht="15.75" thickTop="1">
      <c r="B34" s="72"/>
      <c r="C34" s="108"/>
      <c r="D34" s="77"/>
      <c r="E34" s="108"/>
      <c r="F34" s="77"/>
      <c r="G34" s="108"/>
      <c r="H34" s="75"/>
    </row>
    <row r="35" spans="2:8" s="69" customFormat="1" ht="15.75">
      <c r="B35" s="76" t="s">
        <v>37</v>
      </c>
      <c r="C35" s="108"/>
      <c r="D35" s="77"/>
      <c r="E35" s="108"/>
      <c r="F35" s="77"/>
      <c r="G35" s="108"/>
      <c r="H35" s="75"/>
    </row>
    <row r="36" spans="2:8" s="69" customFormat="1" ht="15.75">
      <c r="B36" s="76" t="s">
        <v>56</v>
      </c>
      <c r="C36" s="108"/>
      <c r="D36" s="77"/>
      <c r="E36" s="108"/>
      <c r="F36" s="77"/>
      <c r="G36" s="108"/>
      <c r="H36" s="75"/>
    </row>
    <row r="37" spans="2:8" s="69" customFormat="1" ht="15">
      <c r="B37" s="75" t="s">
        <v>57</v>
      </c>
      <c r="C37" s="106">
        <f>'[3]1conso-YTD'!$N$95</f>
        <v>45000</v>
      </c>
      <c r="D37" s="73"/>
      <c r="E37" s="106">
        <f>'[5]1conso-YTD'!$U$104</f>
        <v>79999.99999999999</v>
      </c>
      <c r="F37" s="73"/>
      <c r="G37" s="106">
        <f>80000000/1000</f>
        <v>80000</v>
      </c>
      <c r="H37" s="75"/>
    </row>
    <row r="38" spans="2:8" s="69" customFormat="1" ht="15">
      <c r="B38" s="75" t="s">
        <v>263</v>
      </c>
      <c r="C38" s="106"/>
      <c r="D38" s="73"/>
      <c r="E38" s="106">
        <f>'[5]1conso-YTD'!$U$105</f>
        <v>-66.31174</v>
      </c>
      <c r="F38" s="73"/>
      <c r="G38" s="179">
        <v>0</v>
      </c>
      <c r="H38" s="75"/>
    </row>
    <row r="39" spans="2:8" s="69" customFormat="1" ht="15">
      <c r="B39" s="75" t="s">
        <v>142</v>
      </c>
      <c r="C39" s="106">
        <f>'[3]1conso-YTD'!$N$97</f>
        <v>1549.57636</v>
      </c>
      <c r="D39" s="73"/>
      <c r="E39" s="179">
        <f>'[5]1conso-YTD'!$U$107</f>
        <v>0</v>
      </c>
      <c r="F39" s="218"/>
      <c r="G39" s="179">
        <v>0</v>
      </c>
      <c r="H39" s="75"/>
    </row>
    <row r="40" spans="2:8" s="69" customFormat="1" ht="15.75" thickBot="1">
      <c r="B40" s="75" t="s">
        <v>114</v>
      </c>
      <c r="C40" s="107">
        <f>'[3]1conso-YTD'!$N$98+750</f>
        <v>12847.421649</v>
      </c>
      <c r="D40" s="73"/>
      <c r="E40" s="206">
        <f>'[5]1conso-YTD'!$U$108+560</f>
        <v>22272.044347040002</v>
      </c>
      <c r="F40" s="73"/>
      <c r="G40" s="107">
        <f>18921691/1000</f>
        <v>18921.691</v>
      </c>
      <c r="H40" s="75"/>
    </row>
    <row r="41" spans="2:8" s="69" customFormat="1" ht="15">
      <c r="B41" s="75" t="s">
        <v>152</v>
      </c>
      <c r="C41" s="135">
        <f>SUM(C37:C40)</f>
        <v>59396.998009</v>
      </c>
      <c r="D41" s="77"/>
      <c r="E41" s="207">
        <f>SUM(E37:E40)</f>
        <v>102205.73260703999</v>
      </c>
      <c r="F41" s="77"/>
      <c r="G41" s="135">
        <f>SUM(G37:G40)</f>
        <v>98921.69099999999</v>
      </c>
      <c r="H41" s="75"/>
    </row>
    <row r="42" spans="2:8" s="69" customFormat="1" ht="15">
      <c r="B42" s="75" t="s">
        <v>153</v>
      </c>
      <c r="C42" s="106">
        <f>'[3]1conso-YTD'!$N$101</f>
        <v>-2.369579</v>
      </c>
      <c r="D42" s="73"/>
      <c r="E42" s="208">
        <f>'[5]1conso-YTD'!$U$111</f>
        <v>11.217842960000002</v>
      </c>
      <c r="F42" s="73"/>
      <c r="G42" s="179">
        <f>5535/1000</f>
        <v>5.535</v>
      </c>
      <c r="H42" s="75"/>
    </row>
    <row r="43" spans="2:8" s="69" customFormat="1" ht="15.75" thickBot="1">
      <c r="B43" s="75" t="s">
        <v>120</v>
      </c>
      <c r="C43" s="136">
        <f>SUM(C41:C42)</f>
        <v>59394.628430000004</v>
      </c>
      <c r="D43" s="77"/>
      <c r="E43" s="209">
        <f>SUM(E41:E42)</f>
        <v>102216.95044999999</v>
      </c>
      <c r="F43" s="77"/>
      <c r="G43" s="136">
        <f>SUM(G41:G42)</f>
        <v>98927.226</v>
      </c>
      <c r="H43" s="75"/>
    </row>
    <row r="44" spans="2:8" s="69" customFormat="1" ht="15.75">
      <c r="B44" s="78"/>
      <c r="C44" s="106"/>
      <c r="D44" s="77"/>
      <c r="E44" s="108"/>
      <c r="F44" s="77"/>
      <c r="G44" s="106"/>
      <c r="H44" s="75"/>
    </row>
    <row r="45" spans="2:8" s="69" customFormat="1" ht="15.75">
      <c r="B45" s="78" t="s">
        <v>38</v>
      </c>
      <c r="C45" s="106"/>
      <c r="D45" s="77"/>
      <c r="E45" s="108"/>
      <c r="F45" s="77"/>
      <c r="G45" s="106"/>
      <c r="H45" s="75"/>
    </row>
    <row r="46" spans="2:8" s="69" customFormat="1" ht="15">
      <c r="B46" s="75" t="s">
        <v>58</v>
      </c>
      <c r="C46" s="106">
        <f>'[3]1conso-YTD'!$N$106</f>
        <v>128</v>
      </c>
      <c r="D46" s="73"/>
      <c r="E46" s="106">
        <f>'[5]1conso-YTD'!$U$116+72</f>
        <v>200</v>
      </c>
      <c r="F46" s="73"/>
      <c r="G46" s="106">
        <f>200498/1000</f>
        <v>200.498</v>
      </c>
      <c r="H46" s="75"/>
    </row>
    <row r="47" spans="2:8" s="69" customFormat="1" ht="15">
      <c r="B47" s="75" t="s">
        <v>115</v>
      </c>
      <c r="C47" s="106">
        <f>'[3]1conso-YTD'!$N$107-5000</f>
        <v>16845.727010000002</v>
      </c>
      <c r="D47" s="73"/>
      <c r="E47" s="106">
        <f>'[5]1conso-YTD'!$U$117</f>
        <v>33383.72643</v>
      </c>
      <c r="F47" s="73"/>
      <c r="G47" s="106">
        <f>32349256/1000</f>
        <v>32349.256</v>
      </c>
      <c r="H47" s="75"/>
    </row>
    <row r="48" spans="2:8" s="69" customFormat="1" ht="15.75" thickBot="1">
      <c r="B48" s="75" t="s">
        <v>116</v>
      </c>
      <c r="C48" s="107">
        <f>'[3]1conso-YTD'!$N$108</f>
        <v>1143.5</v>
      </c>
      <c r="D48" s="73"/>
      <c r="E48" s="107">
        <f>'[5]1conso-YTD'!$U$118</f>
        <v>1723.5</v>
      </c>
      <c r="F48" s="73"/>
      <c r="G48" s="107">
        <f>1723900/1000</f>
        <v>1723.9</v>
      </c>
      <c r="H48" s="75"/>
    </row>
    <row r="49" spans="2:8" s="69" customFormat="1" ht="16.5" thickBot="1">
      <c r="B49" s="78"/>
      <c r="C49" s="107">
        <f>SUM(C46:C48)</f>
        <v>18117.227010000002</v>
      </c>
      <c r="D49" s="77"/>
      <c r="E49" s="114">
        <f>SUM(E46:E48)+1</f>
        <v>35308.22643</v>
      </c>
      <c r="F49" s="77"/>
      <c r="G49" s="114">
        <f>SUM(G46:G48)</f>
        <v>34273.654</v>
      </c>
      <c r="H49" s="75"/>
    </row>
    <row r="50" spans="2:8" s="69" customFormat="1" ht="15.75">
      <c r="B50" s="78"/>
      <c r="C50" s="106"/>
      <c r="D50" s="77"/>
      <c r="E50" s="108"/>
      <c r="F50" s="77"/>
      <c r="G50" s="106"/>
      <c r="H50" s="75"/>
    </row>
    <row r="51" spans="2:8" s="69" customFormat="1" ht="15.75">
      <c r="B51" s="78" t="s">
        <v>39</v>
      </c>
      <c r="C51" s="108"/>
      <c r="D51" s="77"/>
      <c r="E51" s="108"/>
      <c r="F51" s="77"/>
      <c r="G51" s="108"/>
      <c r="H51" s="75"/>
    </row>
    <row r="52" spans="2:8" s="69" customFormat="1" ht="15">
      <c r="B52" s="75" t="s">
        <v>237</v>
      </c>
      <c r="C52" s="108"/>
      <c r="D52" s="77"/>
      <c r="E52" s="180">
        <f>'[5]1conso-YTD'!$U$121</f>
        <v>0</v>
      </c>
      <c r="F52" s="77"/>
      <c r="G52" s="180">
        <f>151000/1000</f>
        <v>151</v>
      </c>
      <c r="H52" s="75"/>
    </row>
    <row r="53" spans="2:8" s="69" customFormat="1" ht="15">
      <c r="B53" s="72" t="s">
        <v>59</v>
      </c>
      <c r="C53" s="106">
        <f>'[3]1conso-YTD'!$N$111</f>
        <v>8518.03714</v>
      </c>
      <c r="D53" s="73"/>
      <c r="E53" s="106">
        <f>'[5]1conso-YTD'!$U$122</f>
        <v>12861.73157</v>
      </c>
      <c r="F53" s="73"/>
      <c r="G53" s="106">
        <f>12374591/1000</f>
        <v>12374.591</v>
      </c>
      <c r="H53" s="75"/>
    </row>
    <row r="54" spans="2:8" s="69" customFormat="1" ht="15">
      <c r="B54" s="72" t="s">
        <v>117</v>
      </c>
      <c r="C54" s="106">
        <f>'[3]1conso-YTD'!$N$112</f>
        <v>2186.2584</v>
      </c>
      <c r="D54" s="73"/>
      <c r="E54" s="208">
        <f>'[5]1conso-YTD'!$U$123-560</f>
        <v>8564.130329999998</v>
      </c>
      <c r="F54" s="73"/>
      <c r="G54" s="106">
        <f>9694539/1000</f>
        <v>9694.539</v>
      </c>
      <c r="H54" s="75"/>
    </row>
    <row r="55" spans="2:8" s="69" customFormat="1" ht="15">
      <c r="B55" s="72" t="s">
        <v>58</v>
      </c>
      <c r="C55" s="106">
        <f>'[3]1conso-YTD'!$N$113</f>
        <v>311.98563</v>
      </c>
      <c r="D55" s="73"/>
      <c r="E55" s="106">
        <f>'[5]1conso-YTD'!$U$124-72+1</f>
        <v>22.851429999999993</v>
      </c>
      <c r="F55" s="73"/>
      <c r="G55" s="106">
        <f>94999/1000</f>
        <v>94.999</v>
      </c>
      <c r="H55" s="75"/>
    </row>
    <row r="56" spans="2:8" s="69" customFormat="1" ht="15">
      <c r="B56" s="72" t="s">
        <v>60</v>
      </c>
      <c r="C56" s="106">
        <f>'[3]1conso-YTD'!$N$114+5000</f>
        <v>17328.22855</v>
      </c>
      <c r="D56" s="73"/>
      <c r="E56" s="106">
        <f>'[5]1conso-YTD'!$U$125</f>
        <v>13013.48209</v>
      </c>
      <c r="F56" s="73"/>
      <c r="G56" s="106">
        <f>15689677/1000</f>
        <v>15689.677</v>
      </c>
      <c r="H56" s="75"/>
    </row>
    <row r="57" spans="2:8" s="69" customFormat="1" ht="15.75" thickBot="1">
      <c r="B57" s="72" t="s">
        <v>61</v>
      </c>
      <c r="C57" s="106">
        <f>'[3]1conso-YTD'!$N$115</f>
        <v>1489.59725</v>
      </c>
      <c r="D57" s="73"/>
      <c r="E57" s="216">
        <v>0</v>
      </c>
      <c r="F57" s="73"/>
      <c r="G57" s="215">
        <v>0</v>
      </c>
      <c r="H57" s="75"/>
    </row>
    <row r="58" spans="2:8" s="69" customFormat="1" ht="15.75" thickBot="1">
      <c r="B58" s="75"/>
      <c r="C58" s="114">
        <f>SUM(C53:C57)</f>
        <v>29834.10697</v>
      </c>
      <c r="D58" s="77"/>
      <c r="E58" s="114">
        <f>SUM(E52:E57)</f>
        <v>34462.19542</v>
      </c>
      <c r="F58" s="77"/>
      <c r="G58" s="114">
        <f>SUM(G52:G57)</f>
        <v>38004.806</v>
      </c>
      <c r="H58" s="75"/>
    </row>
    <row r="59" spans="2:8" s="69" customFormat="1" ht="12.75" customHeight="1">
      <c r="B59" s="75"/>
      <c r="C59" s="108"/>
      <c r="D59" s="77"/>
      <c r="E59" s="108"/>
      <c r="F59" s="77"/>
      <c r="G59" s="108"/>
      <c r="H59" s="75"/>
    </row>
    <row r="60" spans="2:8" s="69" customFormat="1" ht="15.75">
      <c r="B60" s="78" t="s">
        <v>40</v>
      </c>
      <c r="C60" s="108">
        <f>+C58+C49</f>
        <v>47951.33398</v>
      </c>
      <c r="D60" s="77"/>
      <c r="E60" s="108">
        <f>+E58+E49</f>
        <v>69770.42185</v>
      </c>
      <c r="F60" s="77"/>
      <c r="G60" s="108">
        <f>G49+G58</f>
        <v>72278.45999999999</v>
      </c>
      <c r="H60" s="75"/>
    </row>
    <row r="61" spans="3:8" s="69" customFormat="1" ht="12.75" customHeight="1">
      <c r="C61" s="108"/>
      <c r="D61" s="77"/>
      <c r="E61" s="108"/>
      <c r="F61" s="77"/>
      <c r="G61" s="108"/>
      <c r="H61" s="75"/>
    </row>
    <row r="62" spans="2:8" s="69" customFormat="1" ht="16.5" thickBot="1">
      <c r="B62" s="67" t="s">
        <v>41</v>
      </c>
      <c r="C62" s="109">
        <f>C60+C43</f>
        <v>107345.96241000001</v>
      </c>
      <c r="D62" s="70"/>
      <c r="E62" s="109">
        <f>E60+E43</f>
        <v>171987.3723</v>
      </c>
      <c r="F62" s="70"/>
      <c r="G62" s="109">
        <f>G43+G60</f>
        <v>171205.686</v>
      </c>
      <c r="H62" s="75"/>
    </row>
    <row r="63" spans="2:8" s="69" customFormat="1" ht="16.5" thickTop="1">
      <c r="B63" s="67"/>
      <c r="C63" s="73"/>
      <c r="D63" s="77"/>
      <c r="E63" s="77"/>
      <c r="F63" s="77"/>
      <c r="G63" s="73"/>
      <c r="H63" s="75"/>
    </row>
    <row r="64" spans="2:8" s="69" customFormat="1" ht="15.75">
      <c r="B64" s="67"/>
      <c r="D64" s="73"/>
      <c r="E64" s="73"/>
      <c r="F64" s="73"/>
      <c r="G64" s="73"/>
      <c r="H64" s="75"/>
    </row>
    <row r="65" spans="2:8" s="69" customFormat="1" ht="15" hidden="1">
      <c r="B65" s="69" t="s">
        <v>6</v>
      </c>
      <c r="C65" s="79" t="e">
        <f>+(+#REF!-C17+#REF!)/43560</f>
        <v>#REF!</v>
      </c>
      <c r="D65" s="79"/>
      <c r="E65" s="79"/>
      <c r="F65" s="79"/>
      <c r="G65" s="79" t="e">
        <f>+(+#REF!-G17+#REF!)/43560</f>
        <v>#REF!</v>
      </c>
      <c r="H65" s="75"/>
    </row>
    <row r="66" spans="2:8" s="69" customFormat="1" ht="15">
      <c r="B66" s="246" t="s">
        <v>129</v>
      </c>
      <c r="C66" s="79"/>
      <c r="D66" s="79"/>
      <c r="E66" s="79"/>
      <c r="F66" s="79"/>
      <c r="G66" s="79"/>
      <c r="H66" s="75"/>
    </row>
    <row r="67" spans="2:8" s="69" customFormat="1" ht="15">
      <c r="B67" s="246"/>
      <c r="C67" s="79">
        <f>+C41/90000</f>
        <v>0.6599666445444444</v>
      </c>
      <c r="D67" s="79"/>
      <c r="E67" s="79">
        <f>+E41/160000</f>
        <v>0.6387858287939999</v>
      </c>
      <c r="F67" s="79"/>
      <c r="G67" s="79">
        <f>G41/90000</f>
        <v>1.0991298999999999</v>
      </c>
      <c r="H67" s="75"/>
    </row>
    <row r="68" s="69" customFormat="1" ht="9.75" customHeight="1">
      <c r="B68" s="80"/>
    </row>
    <row r="69" spans="1:11" s="69" customFormat="1" ht="15">
      <c r="A69" s="81" t="s">
        <v>125</v>
      </c>
      <c r="B69" s="69" t="s">
        <v>216</v>
      </c>
      <c r="C69" s="82"/>
      <c r="D69" s="82"/>
      <c r="E69" s="82"/>
      <c r="F69" s="82"/>
      <c r="G69" s="82"/>
      <c r="H69" s="82"/>
      <c r="I69" s="82"/>
      <c r="J69" s="82"/>
      <c r="K69" s="82"/>
    </row>
    <row r="70" spans="2:11" s="69" customFormat="1" ht="15">
      <c r="B70" s="69" t="s">
        <v>249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2:11" s="69" customFormat="1" ht="15">
      <c r="B71" s="75"/>
      <c r="C71" s="82"/>
      <c r="D71" s="82"/>
      <c r="E71" s="82"/>
      <c r="F71" s="82"/>
      <c r="G71" s="82"/>
      <c r="H71" s="82"/>
      <c r="I71" s="82"/>
      <c r="J71" s="82"/>
      <c r="K71" s="82"/>
    </row>
    <row r="72" spans="1:9" s="69" customFormat="1" ht="15">
      <c r="A72" s="81" t="s">
        <v>126</v>
      </c>
      <c r="B72" s="69" t="s">
        <v>130</v>
      </c>
      <c r="C72" s="83"/>
      <c r="D72" s="83"/>
      <c r="E72" s="83"/>
      <c r="F72" s="83"/>
      <c r="G72" s="83"/>
      <c r="H72" s="83"/>
      <c r="I72" s="83"/>
    </row>
    <row r="73" spans="2:9" s="69" customFormat="1" ht="15">
      <c r="B73" s="84" t="s">
        <v>243</v>
      </c>
      <c r="C73" s="83"/>
      <c r="D73" s="83"/>
      <c r="E73" s="83"/>
      <c r="F73" s="83"/>
      <c r="G73" s="83"/>
      <c r="H73" s="83"/>
      <c r="I73" s="83"/>
    </row>
    <row r="74" spans="2:9" ht="12.75">
      <c r="B74" s="38"/>
      <c r="C74" s="11"/>
      <c r="D74" s="38"/>
      <c r="E74" s="38"/>
      <c r="F74" s="38"/>
      <c r="G74" s="38"/>
      <c r="H74" s="38"/>
      <c r="I74" s="38"/>
    </row>
    <row r="78" ht="12.75">
      <c r="C78" s="131"/>
    </row>
  </sheetData>
  <sheetProtection/>
  <mergeCells count="2">
    <mergeCell ref="B1:H1"/>
    <mergeCell ref="B66:B67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zoomScalePageLayoutView="0" workbookViewId="0" topLeftCell="D7">
      <selection activeCell="F24" sqref="F24:G24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266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47" t="s">
        <v>121</v>
      </c>
      <c r="D7" s="248"/>
      <c r="E7" s="248"/>
      <c r="F7" s="248"/>
      <c r="G7" s="248"/>
      <c r="H7" s="248"/>
      <c r="I7" s="248"/>
      <c r="J7" s="249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100"/>
      <c r="J11" s="100"/>
    </row>
    <row r="12" spans="3:10" s="92" customFormat="1" ht="15" customHeight="1">
      <c r="C12" s="93" t="s">
        <v>5</v>
      </c>
      <c r="D12" s="93" t="s">
        <v>273</v>
      </c>
      <c r="E12" s="93" t="s">
        <v>10</v>
      </c>
      <c r="F12" s="93" t="s">
        <v>257</v>
      </c>
      <c r="G12" s="101" t="s">
        <v>11</v>
      </c>
      <c r="H12" s="93" t="s">
        <v>152</v>
      </c>
      <c r="I12" s="101" t="s">
        <v>214</v>
      </c>
      <c r="J12" s="101" t="s">
        <v>62</v>
      </c>
    </row>
    <row r="13" spans="3:10" s="92" customFormat="1" ht="15" customHeight="1">
      <c r="C13" s="93"/>
      <c r="D13" s="93"/>
      <c r="E13" s="93"/>
      <c r="F13" s="93"/>
      <c r="G13" s="100"/>
      <c r="H13" s="93"/>
      <c r="I13" s="100"/>
      <c r="J13" s="100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248</v>
      </c>
      <c r="C16" s="110">
        <f>80000000/1000</f>
        <v>80000</v>
      </c>
      <c r="D16" s="110">
        <v>0</v>
      </c>
      <c r="E16" s="110">
        <v>0</v>
      </c>
      <c r="F16" s="110">
        <f>6600000/1000</f>
        <v>6600</v>
      </c>
      <c r="G16" s="110">
        <f>12321691/1000</f>
        <v>12321.691</v>
      </c>
      <c r="H16" s="110">
        <f>SUM(C16:G16)</f>
        <v>98921.691</v>
      </c>
      <c r="I16" s="110">
        <f>5535/1000-1</f>
        <v>4.535</v>
      </c>
      <c r="J16" s="110">
        <f>SUM(H16:I16)+1</f>
        <v>98927.22600000001</v>
      </c>
    </row>
    <row r="17" spans="2:10" s="92" customFormat="1" ht="15" customHeight="1">
      <c r="B17" s="91"/>
      <c r="C17" s="110"/>
      <c r="D17" s="110"/>
      <c r="E17" s="110"/>
      <c r="F17" s="110"/>
      <c r="G17" s="110"/>
      <c r="H17" s="110"/>
      <c r="I17" s="110"/>
      <c r="J17" s="110"/>
    </row>
    <row r="18" spans="2:10" s="92" customFormat="1" ht="15" customHeight="1">
      <c r="B18" s="92" t="s">
        <v>275</v>
      </c>
      <c r="C18" s="110">
        <v>0</v>
      </c>
      <c r="D18" s="110">
        <v>-66</v>
      </c>
      <c r="E18" s="110">
        <v>0</v>
      </c>
      <c r="F18" s="110">
        <v>0</v>
      </c>
      <c r="G18" s="110">
        <v>0</v>
      </c>
      <c r="H18" s="110">
        <f>SUM(C18:G18)</f>
        <v>-66</v>
      </c>
      <c r="I18" s="110">
        <v>0</v>
      </c>
      <c r="J18" s="110">
        <f>SUM(H18:I18)</f>
        <v>-66</v>
      </c>
    </row>
    <row r="19" spans="3:10" s="92" customFormat="1" ht="15" customHeight="1">
      <c r="C19" s="110"/>
      <c r="D19" s="110"/>
      <c r="E19" s="110"/>
      <c r="F19" s="110"/>
      <c r="G19" s="110"/>
      <c r="H19" s="110"/>
      <c r="I19" s="110"/>
      <c r="J19" s="110"/>
    </row>
    <row r="20" spans="2:10" s="92" customFormat="1" ht="15" customHeight="1">
      <c r="B20" s="92" t="s">
        <v>274</v>
      </c>
      <c r="C20" s="110">
        <v>0</v>
      </c>
      <c r="D20" s="110">
        <v>0</v>
      </c>
      <c r="E20" s="110">
        <v>0</v>
      </c>
      <c r="F20" s="110">
        <v>0</v>
      </c>
      <c r="G20" s="110">
        <v>-1600</v>
      </c>
      <c r="H20" s="110">
        <f>SUM(C20:G20)</f>
        <v>-1600</v>
      </c>
      <c r="I20" s="110">
        <v>0</v>
      </c>
      <c r="J20" s="110">
        <f>SUM(H20:I20)</f>
        <v>-1600</v>
      </c>
    </row>
    <row r="21" spans="2:10" s="92" customFormat="1" ht="15" customHeight="1">
      <c r="B21" s="91"/>
      <c r="C21" s="110"/>
      <c r="D21" s="110"/>
      <c r="E21" s="110"/>
      <c r="F21" s="110"/>
      <c r="G21" s="110"/>
      <c r="H21" s="110"/>
      <c r="I21" s="110"/>
      <c r="J21" s="110"/>
    </row>
    <row r="22" spans="2:10" s="92" customFormat="1" ht="15" customHeight="1">
      <c r="B22" s="92" t="s">
        <v>238</v>
      </c>
      <c r="C22" s="110">
        <v>0</v>
      </c>
      <c r="D22" s="110">
        <v>0</v>
      </c>
      <c r="E22" s="213">
        <v>0</v>
      </c>
      <c r="F22" s="213">
        <v>0</v>
      </c>
      <c r="G22" s="213">
        <f>4390+560</f>
        <v>4950</v>
      </c>
      <c r="H22" s="213">
        <f>SUM(C22:G22)</f>
        <v>4950</v>
      </c>
      <c r="I22" s="213">
        <v>6</v>
      </c>
      <c r="J22" s="213">
        <f>SUM(H22:I22)</f>
        <v>4956</v>
      </c>
    </row>
    <row r="23" spans="3:10" s="92" customFormat="1" ht="15" customHeight="1">
      <c r="C23" s="94"/>
      <c r="D23" s="94"/>
      <c r="E23" s="210"/>
      <c r="F23" s="210"/>
      <c r="G23" s="210"/>
      <c r="H23" s="210"/>
      <c r="I23" s="210"/>
      <c r="J23" s="210"/>
    </row>
    <row r="24" spans="2:11" s="92" customFormat="1" ht="15" customHeight="1" thickBot="1">
      <c r="B24" s="91" t="s">
        <v>267</v>
      </c>
      <c r="C24" s="95">
        <f aca="true" t="shared" si="0" ref="C24:I24">SUM(C16:C23)</f>
        <v>80000</v>
      </c>
      <c r="D24" s="95">
        <f t="shared" si="0"/>
        <v>-66</v>
      </c>
      <c r="E24" s="211">
        <f t="shared" si="0"/>
        <v>0</v>
      </c>
      <c r="F24" s="95">
        <f t="shared" si="0"/>
        <v>6600</v>
      </c>
      <c r="G24" s="211">
        <f>SUM(G16:G23)</f>
        <v>15671.691</v>
      </c>
      <c r="H24" s="211">
        <f t="shared" si="0"/>
        <v>102205.691</v>
      </c>
      <c r="I24" s="211">
        <f t="shared" si="0"/>
        <v>10.535</v>
      </c>
      <c r="J24" s="211">
        <f>SUM(J16:J23)</f>
        <v>102217.22600000001</v>
      </c>
      <c r="K24" s="96"/>
    </row>
    <row r="25" spans="3:10" s="92" customFormat="1" ht="15" customHeight="1" thickTop="1">
      <c r="C25" s="97"/>
      <c r="D25" s="97"/>
      <c r="E25" s="212"/>
      <c r="F25" s="212"/>
      <c r="G25" s="212"/>
      <c r="H25" s="212"/>
      <c r="I25" s="212"/>
      <c r="J25" s="212"/>
    </row>
    <row r="26" spans="3:16" s="92" customFormat="1" ht="15" customHeight="1">
      <c r="C26" s="97"/>
      <c r="D26" s="97"/>
      <c r="E26" s="97"/>
      <c r="F26" s="97"/>
      <c r="G26" s="97"/>
      <c r="H26" s="97"/>
      <c r="I26" s="97"/>
      <c r="J26" s="96"/>
      <c r="P26" s="97"/>
    </row>
    <row r="27" spans="2:16" s="92" customFormat="1" ht="15" customHeight="1" hidden="1">
      <c r="B27" s="92" t="s">
        <v>118</v>
      </c>
      <c r="C27" s="97"/>
      <c r="D27" s="97"/>
      <c r="E27" s="97"/>
      <c r="F27" s="97"/>
      <c r="G27" s="97"/>
      <c r="H27" s="97"/>
      <c r="I27" s="97"/>
      <c r="K27" s="98"/>
      <c r="M27" s="98"/>
      <c r="O27" s="98"/>
      <c r="P27" s="97"/>
    </row>
    <row r="28" spans="2:15" s="92" customFormat="1" ht="15" customHeight="1" hidden="1">
      <c r="B28" s="98"/>
      <c r="C28" s="97"/>
      <c r="D28" s="97"/>
      <c r="E28" s="97"/>
      <c r="F28" s="97"/>
      <c r="G28" s="97"/>
      <c r="H28" s="97"/>
      <c r="I28" s="97"/>
      <c r="J28" s="97"/>
      <c r="K28" s="98"/>
      <c r="M28" s="98"/>
      <c r="N28" s="98"/>
      <c r="O28" s="98"/>
    </row>
    <row r="29" spans="2:12" ht="14.25" hidden="1">
      <c r="B29" s="99"/>
      <c r="C29" s="99"/>
      <c r="D29" s="99"/>
      <c r="E29" s="99"/>
      <c r="F29" s="99"/>
      <c r="G29" s="99"/>
      <c r="H29" s="99"/>
      <c r="I29" s="99"/>
      <c r="L29" s="92"/>
    </row>
    <row r="30" spans="2:12" ht="14.25" hidden="1">
      <c r="B30" s="127" t="s">
        <v>148</v>
      </c>
      <c r="C30" s="99"/>
      <c r="D30" s="99"/>
      <c r="E30" s="99"/>
      <c r="F30" s="99"/>
      <c r="G30" s="99"/>
      <c r="H30" s="99"/>
      <c r="I30" s="99"/>
      <c r="L30" s="92"/>
    </row>
    <row r="31" spans="2:12" ht="14.25" hidden="1">
      <c r="B31" s="125" t="s">
        <v>151</v>
      </c>
      <c r="C31" s="126"/>
      <c r="D31" s="126"/>
      <c r="E31" s="126"/>
      <c r="F31" s="126"/>
      <c r="G31" s="126"/>
      <c r="H31" s="126"/>
      <c r="I31" s="126"/>
      <c r="L31" s="92"/>
    </row>
    <row r="32" spans="2:9" ht="14.25" hidden="1">
      <c r="B32" s="92" t="s">
        <v>149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223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249</v>
      </c>
      <c r="C35" s="92"/>
      <c r="D35" s="92"/>
      <c r="E35" s="92"/>
      <c r="F35" s="92"/>
      <c r="G35" s="92"/>
      <c r="H35" s="92"/>
      <c r="I35" s="92"/>
    </row>
    <row r="36" ht="14.25">
      <c r="B36" s="98" t="s">
        <v>99</v>
      </c>
    </row>
    <row r="37" ht="14.25">
      <c r="B37" s="92"/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statement'!M12</f>
        <v>30 September 2012</v>
      </c>
      <c r="E8" s="12"/>
      <c r="F8" s="5" t="str">
        <f>'Income statement'!N12</f>
        <v>30 September 2011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50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50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50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50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53" t="s">
        <v>18</v>
      </c>
      <c r="D6" s="254"/>
      <c r="E6" s="253" t="s">
        <v>19</v>
      </c>
      <c r="F6" s="254"/>
      <c r="H6" s="7"/>
    </row>
    <row r="7" spans="3:6" ht="12.75">
      <c r="C7" s="255" t="s">
        <v>20</v>
      </c>
      <c r="D7" s="255" t="s">
        <v>21</v>
      </c>
      <c r="E7" s="255" t="s">
        <v>23</v>
      </c>
      <c r="F7" s="255" t="s">
        <v>22</v>
      </c>
    </row>
    <row r="8" spans="3:6" ht="12.75">
      <c r="C8" s="255"/>
      <c r="D8" s="255"/>
      <c r="E8" s="255"/>
      <c r="F8" s="255"/>
    </row>
    <row r="9" spans="3:6" ht="12.75">
      <c r="C9" s="255"/>
      <c r="D9" s="255"/>
      <c r="E9" s="255"/>
      <c r="F9" s="255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statement'!M15</f>
        <v>66061.44232</v>
      </c>
      <c r="F14" s="9">
        <f>+'Income statement'!N15</f>
        <v>61601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statement'!M29</f>
        <v>6256.3558600000015</v>
      </c>
      <c r="F16" s="9">
        <f>+'Income statement'!N29</f>
        <v>8054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51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51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52" t="s">
        <v>48</v>
      </c>
      <c r="C33" s="9"/>
      <c r="D33" s="9"/>
      <c r="E33" s="10">
        <f>+'balance sheet'!C67</f>
        <v>0.6599666445444444</v>
      </c>
      <c r="F33" s="10">
        <f>+'balance sheet'!G67</f>
        <v>1.0991298999999999</v>
      </c>
    </row>
    <row r="34" spans="2:6" ht="12.75">
      <c r="B34" s="252"/>
      <c r="C34" s="9"/>
      <c r="D34" s="9"/>
      <c r="E34" s="9"/>
      <c r="F34" s="9"/>
    </row>
    <row r="35" spans="2:6" ht="12.75">
      <c r="B35" s="252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172</v>
      </c>
    </row>
    <row r="2" ht="15">
      <c r="B2" s="16" t="s">
        <v>173</v>
      </c>
    </row>
    <row r="3" ht="15">
      <c r="B3" s="16" t="s">
        <v>174</v>
      </c>
    </row>
    <row r="4" ht="15">
      <c r="B4" s="16"/>
    </row>
    <row r="5" ht="15">
      <c r="B5" s="16" t="s">
        <v>175</v>
      </c>
    </row>
    <row r="6" ht="15">
      <c r="B6" s="16" t="s">
        <v>176</v>
      </c>
    </row>
    <row r="7" ht="14.25">
      <c r="B7" s="150"/>
    </row>
    <row r="8" spans="2:4" ht="15">
      <c r="B8" s="24"/>
      <c r="C8" s="17" t="s">
        <v>177</v>
      </c>
      <c r="D8" s="17">
        <v>2009</v>
      </c>
    </row>
    <row r="9" spans="2:4" ht="15">
      <c r="B9" s="24"/>
      <c r="C9" s="17"/>
      <c r="D9" s="17" t="s">
        <v>178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179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180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181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182</v>
      </c>
      <c r="C26" s="19"/>
      <c r="D26" s="155">
        <v>1005378</v>
      </c>
    </row>
    <row r="27" spans="2:4" ht="14.25">
      <c r="B27" s="24" t="s">
        <v>183</v>
      </c>
      <c r="C27" s="19"/>
      <c r="D27" s="155">
        <v>2638376</v>
      </c>
    </row>
    <row r="28" spans="2:4" ht="14.25">
      <c r="B28" s="20" t="s">
        <v>143</v>
      </c>
      <c r="C28" s="19"/>
      <c r="D28" s="155">
        <v>-3186200</v>
      </c>
    </row>
    <row r="29" spans="2:4" ht="28.5">
      <c r="B29" s="20" t="s">
        <v>184</v>
      </c>
      <c r="C29" s="19"/>
      <c r="D29" s="155">
        <v>-1774921</v>
      </c>
    </row>
    <row r="30" spans="2:4" ht="28.5">
      <c r="B30" s="20" t="s">
        <v>131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132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185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186</v>
      </c>
      <c r="C42" s="19"/>
      <c r="D42" s="19"/>
    </row>
    <row r="43" spans="2:4" ht="14.25">
      <c r="B43" s="18" t="s">
        <v>187</v>
      </c>
      <c r="C43" s="19">
        <v>17</v>
      </c>
      <c r="D43" s="155">
        <v>15479479</v>
      </c>
    </row>
    <row r="44" spans="2:4" ht="14.25">
      <c r="B44" s="18" t="s">
        <v>188</v>
      </c>
      <c r="C44" s="19"/>
      <c r="D44" s="155">
        <v>381336</v>
      </c>
    </row>
    <row r="45" spans="2:4" ht="14.25">
      <c r="B45" s="18" t="s">
        <v>189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190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191</v>
      </c>
      <c r="C53" s="19"/>
      <c r="D53" s="155">
        <v>13320000</v>
      </c>
      <c r="E53" s="152"/>
    </row>
    <row r="54" spans="2:5" ht="15">
      <c r="B54" s="20" t="s">
        <v>192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193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194</v>
      </c>
      <c r="C58" s="19"/>
      <c r="D58" s="155">
        <v>-666770</v>
      </c>
      <c r="E58" s="152"/>
    </row>
    <row r="59" spans="2:5" ht="15">
      <c r="B59" s="20" t="s">
        <v>195</v>
      </c>
      <c r="C59" s="19"/>
      <c r="D59" s="155">
        <v>-2520424</v>
      </c>
      <c r="E59" s="152"/>
    </row>
    <row r="60" spans="2:5" ht="15">
      <c r="B60" s="20" t="s">
        <v>196</v>
      </c>
      <c r="C60" s="19"/>
      <c r="D60" s="155">
        <v>-2812839</v>
      </c>
      <c r="E60" s="152"/>
    </row>
    <row r="61" spans="2:5" ht="15.75" thickBot="1">
      <c r="B61" s="20" t="s">
        <v>197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198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199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200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201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211</v>
      </c>
      <c r="C75"/>
      <c r="D75"/>
    </row>
    <row r="76" spans="2:4" ht="14.25">
      <c r="B76" s="150"/>
      <c r="C76"/>
      <c r="D76"/>
    </row>
    <row r="77" spans="2:4" ht="42.75">
      <c r="B77" s="150" t="s">
        <v>202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203</v>
      </c>
      <c r="E79" s="163"/>
      <c r="F79" s="256"/>
      <c r="G79" s="256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178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204</v>
      </c>
      <c r="D83" s="155">
        <v>8538068</v>
      </c>
      <c r="E83" s="165"/>
      <c r="F83" s="166"/>
      <c r="G83" s="166"/>
    </row>
    <row r="84" spans="2:7" ht="15">
      <c r="B84" s="20" t="s">
        <v>205</v>
      </c>
      <c r="D84" s="17"/>
      <c r="E84" s="163"/>
      <c r="F84" s="164"/>
      <c r="G84" s="164"/>
    </row>
    <row r="85" spans="2:7" ht="14.25">
      <c r="B85" s="20" t="s">
        <v>206</v>
      </c>
      <c r="D85" s="155">
        <v>19711108</v>
      </c>
      <c r="E85" s="166"/>
      <c r="F85" s="167"/>
      <c r="G85" s="166"/>
    </row>
    <row r="86" spans="2:7" ht="14.25">
      <c r="B86" s="20" t="s">
        <v>207</v>
      </c>
      <c r="D86" s="155">
        <v>3199333</v>
      </c>
      <c r="E86" s="165"/>
      <c r="F86" s="167"/>
      <c r="G86" s="166"/>
    </row>
    <row r="87" spans="2:7" ht="15" thickBot="1">
      <c r="B87" s="20" t="s">
        <v>208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209</v>
      </c>
      <c r="D90" s="17"/>
      <c r="E90" s="163"/>
      <c r="F90" s="164"/>
      <c r="G90" s="163"/>
    </row>
    <row r="91" spans="2:7" ht="15" thickBot="1">
      <c r="B91" s="20" t="s">
        <v>210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"/>
  <sheetViews>
    <sheetView tabSelected="1" zoomScalePageLayoutView="0" workbookViewId="0" topLeftCell="A37">
      <selection activeCell="G27" sqref="G27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268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41" t="s">
        <v>212</v>
      </c>
      <c r="F5" s="56"/>
      <c r="G5" s="241" t="s">
        <v>269</v>
      </c>
      <c r="I5" s="241" t="s">
        <v>270</v>
      </c>
      <c r="J5" s="241" t="s">
        <v>213</v>
      </c>
    </row>
    <row r="6" spans="2:10" s="51" customFormat="1" ht="15" customHeight="1">
      <c r="B6" s="16"/>
      <c r="E6" s="241"/>
      <c r="F6" s="56"/>
      <c r="G6" s="241"/>
      <c r="I6" s="258"/>
      <c r="J6" s="258"/>
    </row>
    <row r="7" spans="2:10" s="51" customFormat="1" ht="15" customHeight="1">
      <c r="B7" s="16"/>
      <c r="E7" s="241"/>
      <c r="F7" s="56"/>
      <c r="G7" s="241"/>
      <c r="I7" s="258"/>
      <c r="J7" s="258"/>
    </row>
    <row r="8" spans="2:10" s="51" customFormat="1" ht="45" customHeight="1">
      <c r="B8" s="16"/>
      <c r="E8" s="241"/>
      <c r="F8" s="56"/>
      <c r="G8" s="241"/>
      <c r="I8" s="258"/>
      <c r="J8" s="258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28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29">
        <f>'[6]Sheet2'!$W$8+560</f>
        <v>6256</v>
      </c>
      <c r="H12" s="21"/>
      <c r="I12" s="21">
        <v>8054</v>
      </c>
      <c r="J12" s="21">
        <f>'CF12.09'!D12/1000</f>
        <v>13768.765</v>
      </c>
      <c r="K12" s="184"/>
    </row>
    <row r="13" spans="2:11" s="51" customFormat="1" ht="14.25">
      <c r="B13" s="20"/>
      <c r="C13" s="19"/>
      <c r="D13" s="19"/>
      <c r="E13" s="21"/>
      <c r="F13" s="21"/>
      <c r="G13" s="229"/>
      <c r="H13" s="21"/>
      <c r="I13" s="21"/>
      <c r="J13" s="21"/>
      <c r="K13" s="184"/>
    </row>
    <row r="14" spans="2:11" s="51" customFormat="1" ht="15" thickBot="1">
      <c r="B14" s="198" t="s">
        <v>111</v>
      </c>
      <c r="C14" s="19"/>
      <c r="D14" s="19"/>
      <c r="E14" s="21" t="e">
        <f>'[4]cashflow.'!$V$17</f>
        <v>#REF!</v>
      </c>
      <c r="F14" s="21"/>
      <c r="G14" s="229">
        <f>'[6]Sheet2'!$X$21</f>
        <v>3210.7877200000003</v>
      </c>
      <c r="H14" s="21"/>
      <c r="I14" s="22">
        <v>3864</v>
      </c>
      <c r="J14" s="22">
        <f>'CF12.09'!E22/1000</f>
        <v>914.288</v>
      </c>
      <c r="K14" s="184"/>
    </row>
    <row r="15" spans="2:11" s="51" customFormat="1" ht="14.25">
      <c r="B15" s="199"/>
      <c r="C15" s="19"/>
      <c r="D15" s="19"/>
      <c r="E15" s="23"/>
      <c r="F15" s="28"/>
      <c r="G15" s="230"/>
      <c r="H15" s="28"/>
      <c r="I15" s="28"/>
      <c r="J15" s="21"/>
      <c r="K15" s="184"/>
    </row>
    <row r="16" spans="2:11" s="51" customFormat="1" ht="15.75" customHeight="1">
      <c r="B16" s="198" t="s">
        <v>8</v>
      </c>
      <c r="C16" s="19"/>
      <c r="D16" s="19"/>
      <c r="E16" s="49">
        <f>'[4]cashflow.'!$U$21</f>
        <v>3906</v>
      </c>
      <c r="F16" s="49"/>
      <c r="G16" s="231">
        <f>SUM(G12:G14)</f>
        <v>9466.78772</v>
      </c>
      <c r="H16" s="21"/>
      <c r="I16" s="49">
        <f>SUM(I12:I14)</f>
        <v>11918</v>
      </c>
      <c r="J16" s="49">
        <f>'CF12.09'!D24/1000</f>
        <v>14683.053</v>
      </c>
      <c r="K16" s="184"/>
    </row>
    <row r="17" spans="2:15" s="51" customFormat="1" ht="14.25">
      <c r="B17" s="200"/>
      <c r="C17" s="24"/>
      <c r="D17" s="24"/>
      <c r="E17" s="21"/>
      <c r="F17" s="21"/>
      <c r="G17" s="229"/>
      <c r="H17" s="21"/>
      <c r="I17" s="21"/>
      <c r="J17" s="21"/>
      <c r="K17" s="195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29" t="e">
        <f>'[1]cashflow.'!F22</f>
        <v>#REF!</v>
      </c>
      <c r="H18" s="21"/>
      <c r="I18" s="21"/>
      <c r="J18" s="21" t="s">
        <v>24</v>
      </c>
      <c r="K18" s="195"/>
      <c r="L18" s="19"/>
    </row>
    <row r="19" spans="2:12" s="51" customFormat="1" ht="14.25" customHeight="1">
      <c r="B19" s="41" t="s">
        <v>233</v>
      </c>
      <c r="C19" s="24"/>
      <c r="D19" s="24"/>
      <c r="E19" s="21">
        <f>'[4]cashflow.'!$U$23</f>
        <v>312.60903000000053</v>
      </c>
      <c r="F19" s="21"/>
      <c r="G19" s="229">
        <f>'[6]Sheet2'!$W$26</f>
        <v>-6394.213000000001</v>
      </c>
      <c r="H19" s="21"/>
      <c r="I19" s="21">
        <v>-1234</v>
      </c>
      <c r="J19" s="21">
        <f>'CF12.09'!D26/1000</f>
        <v>1005.378</v>
      </c>
      <c r="K19" s="195"/>
      <c r="L19" s="19"/>
    </row>
    <row r="20" spans="2:12" s="51" customFormat="1" ht="14.25" customHeight="1">
      <c r="B20" s="41" t="s">
        <v>234</v>
      </c>
      <c r="C20" s="24"/>
      <c r="D20" s="24"/>
      <c r="E20" s="21">
        <f>'[4]cashflow.'!$U$24</f>
        <v>-1741.777379999996</v>
      </c>
      <c r="F20" s="21"/>
      <c r="G20" s="229">
        <f>'[6]Sheet2'!$W$27</f>
        <v>391.77602000000036</v>
      </c>
      <c r="H20" s="21"/>
      <c r="I20" s="21">
        <v>-6534</v>
      </c>
      <c r="J20" s="21">
        <f>'CF12.09'!D27/1000</f>
        <v>2638.376</v>
      </c>
      <c r="K20" s="195"/>
      <c r="L20" s="19"/>
    </row>
    <row r="21" spans="2:12" s="51" customFormat="1" ht="14.25" customHeight="1">
      <c r="B21" s="41" t="s">
        <v>240</v>
      </c>
      <c r="C21" s="24"/>
      <c r="D21" s="24"/>
      <c r="E21" s="21">
        <f>'[4]cashflow.'!$U$25</f>
        <v>-1991.7909599999984</v>
      </c>
      <c r="F21" s="21"/>
      <c r="G21" s="229">
        <f>'[6]Sheet2'!$W$28</f>
        <v>5225.1807</v>
      </c>
      <c r="H21" s="21"/>
      <c r="I21" s="21">
        <v>7840</v>
      </c>
      <c r="J21" s="21">
        <f>'CF12.09'!D28/1000</f>
        <v>-3186.2</v>
      </c>
      <c r="K21" s="195"/>
      <c r="L21" s="19"/>
    </row>
    <row r="22" spans="2:12" s="51" customFormat="1" ht="14.25" customHeight="1">
      <c r="B22" s="199" t="s">
        <v>235</v>
      </c>
      <c r="C22" s="24"/>
      <c r="D22" s="24"/>
      <c r="E22" s="21">
        <f>'[4]cashflow.'!$U$26</f>
        <v>770.346</v>
      </c>
      <c r="F22" s="21"/>
      <c r="G22" s="229">
        <f>'[6]Sheet2'!$W$29</f>
        <v>-15.886000000000422</v>
      </c>
      <c r="H22" s="21"/>
      <c r="I22" s="21">
        <v>-3446</v>
      </c>
      <c r="J22" s="21">
        <f>'CF12.09'!D29/1000</f>
        <v>-1774.921</v>
      </c>
      <c r="K22" s="195"/>
      <c r="L22" s="19"/>
    </row>
    <row r="23" spans="2:12" s="51" customFormat="1" ht="14.25" customHeight="1">
      <c r="B23" s="41" t="s">
        <v>236</v>
      </c>
      <c r="C23" s="20"/>
      <c r="D23" s="20"/>
      <c r="E23" s="21">
        <f>'[4]cashflow.'!$U$27</f>
        <v>8.91215000000011</v>
      </c>
      <c r="F23" s="21"/>
      <c r="G23" s="229">
        <f>'[6]Sheet2'!$W$30</f>
        <v>375.4701000000002</v>
      </c>
      <c r="H23" s="21"/>
      <c r="I23" s="21">
        <v>-4282</v>
      </c>
      <c r="J23" s="21">
        <f>'CF12.09'!D30/1000</f>
        <v>1373.389</v>
      </c>
      <c r="K23" s="195"/>
      <c r="L23" s="19"/>
    </row>
    <row r="24" spans="2:12" s="51" customFormat="1" ht="14.25" customHeight="1">
      <c r="B24" s="41" t="s">
        <v>241</v>
      </c>
      <c r="C24" s="20"/>
      <c r="D24" s="20"/>
      <c r="E24" s="21">
        <f>'[4]cashflow.'!$U$28</f>
        <v>-230.72018999999818</v>
      </c>
      <c r="F24" s="21"/>
      <c r="G24" s="229">
        <f>'[6]Sheet2'!$W$34</f>
        <v>487.1405699999983</v>
      </c>
      <c r="H24" s="21"/>
      <c r="I24" s="21">
        <v>1744</v>
      </c>
      <c r="J24" s="21">
        <f>'CF12.09'!D31/1000</f>
        <v>189.777</v>
      </c>
      <c r="K24" s="195"/>
      <c r="L24" s="19"/>
    </row>
    <row r="25" spans="2:12" s="51" customFormat="1" ht="14.25" customHeight="1">
      <c r="B25" s="199" t="s">
        <v>239</v>
      </c>
      <c r="C25" s="20"/>
      <c r="D25" s="20"/>
      <c r="E25" s="21"/>
      <c r="F25" s="21"/>
      <c r="G25" s="229">
        <f>'[6]Sheet2'!$W$35</f>
        <v>-151</v>
      </c>
      <c r="H25" s="21"/>
      <c r="I25" s="21">
        <v>-3257</v>
      </c>
      <c r="J25" s="21"/>
      <c r="K25" s="195"/>
      <c r="L25" s="19"/>
    </row>
    <row r="26" spans="2:12" s="51" customFormat="1" ht="15" thickBot="1">
      <c r="B26" s="40" t="s">
        <v>242</v>
      </c>
      <c r="C26" s="20"/>
      <c r="D26" s="20"/>
      <c r="E26" s="22">
        <f>'[4]cashflow.'!$U$29</f>
        <v>-780.1700500000002</v>
      </c>
      <c r="F26" s="28"/>
      <c r="G26" s="232">
        <f>'[6]Sheet2'!$W$36-560</f>
        <v>-1129.4086700000003</v>
      </c>
      <c r="H26" s="28"/>
      <c r="I26" s="22">
        <v>-1898</v>
      </c>
      <c r="J26" s="22">
        <f>'CF12.09'!D32/1000</f>
        <v>-271.731</v>
      </c>
      <c r="K26" s="195"/>
      <c r="L26" s="19"/>
    </row>
    <row r="27" spans="2:12" s="51" customFormat="1" ht="14.25">
      <c r="B27" s="200"/>
      <c r="C27" s="24"/>
      <c r="D27" s="24"/>
      <c r="E27" s="21"/>
      <c r="F27" s="21"/>
      <c r="G27" s="229"/>
      <c r="H27" s="21"/>
      <c r="I27" s="21"/>
      <c r="J27" s="21"/>
      <c r="K27" s="195"/>
      <c r="L27" s="19"/>
    </row>
    <row r="28" spans="2:12" s="51" customFormat="1" ht="14.25" customHeight="1">
      <c r="B28" s="198" t="s">
        <v>105</v>
      </c>
      <c r="C28" s="20"/>
      <c r="D28" s="20"/>
      <c r="E28" s="49">
        <f>'[4]cashflow.'!$U$32</f>
        <v>254.40860000000794</v>
      </c>
      <c r="F28" s="49"/>
      <c r="G28" s="231">
        <f>SUM(G19:G27)+G16</f>
        <v>8255.847439999998</v>
      </c>
      <c r="H28" s="21"/>
      <c r="I28" s="49">
        <f>SUM(I16:I26)</f>
        <v>851</v>
      </c>
      <c r="J28" s="49">
        <f>'CF12.09'!D34/1000</f>
        <v>14657.121</v>
      </c>
      <c r="K28" s="195"/>
      <c r="L28" s="19"/>
    </row>
    <row r="29" spans="2:12" s="51" customFormat="1" ht="14.25" customHeight="1">
      <c r="B29" s="198"/>
      <c r="C29" s="20"/>
      <c r="D29" s="20"/>
      <c r="E29" s="49"/>
      <c r="F29" s="49"/>
      <c r="G29" s="231"/>
      <c r="H29" s="21"/>
      <c r="I29" s="49"/>
      <c r="J29" s="49"/>
      <c r="K29" s="195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29">
        <f>'[6]Sheet2'!$W$43+'[6]Sheet2'!$W$44</f>
        <v>-1825.8486099999998</v>
      </c>
      <c r="H30" s="21"/>
      <c r="I30" s="21">
        <v>-1497</v>
      </c>
      <c r="J30" s="21">
        <f>'CF12.09'!D36/1000</f>
        <v>-134.101</v>
      </c>
      <c r="K30" s="195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29">
        <f>'[6]Sheet2'!$W$45</f>
        <v>-1899.243</v>
      </c>
      <c r="H31" s="28"/>
      <c r="I31" s="28">
        <v>-2400</v>
      </c>
      <c r="J31" s="21">
        <f>'CF12.09'!D37/1000</f>
        <v>-3491.456</v>
      </c>
      <c r="K31" s="195"/>
      <c r="L31" s="19"/>
    </row>
    <row r="32" spans="2:12" s="51" customFormat="1" ht="15" thickBot="1">
      <c r="B32" s="45"/>
      <c r="C32" s="18"/>
      <c r="D32" s="18"/>
      <c r="E32" s="22"/>
      <c r="F32" s="28"/>
      <c r="G32" s="232"/>
      <c r="H32" s="21"/>
      <c r="I32" s="22"/>
      <c r="J32" s="22"/>
      <c r="K32" s="195"/>
      <c r="L32" s="19"/>
    </row>
    <row r="33" spans="2:12" s="51" customFormat="1" ht="15.75" thickBot="1">
      <c r="B33" s="201" t="s">
        <v>44</v>
      </c>
      <c r="C33" s="18"/>
      <c r="D33" s="18"/>
      <c r="E33" s="50">
        <f>'[4]cashflow.'!$U$37</f>
        <v>-620.5913999999921</v>
      </c>
      <c r="F33" s="112"/>
      <c r="G33" s="233">
        <f>SUM(G28:G32)</f>
        <v>4530.755829999998</v>
      </c>
      <c r="H33" s="28"/>
      <c r="I33" s="50">
        <f>SUM(I28:I32)</f>
        <v>-3046</v>
      </c>
      <c r="J33" s="160">
        <f>'CF12.09'!D39/1000</f>
        <v>11031.564</v>
      </c>
      <c r="K33" s="195"/>
      <c r="L33" s="19"/>
    </row>
    <row r="34" spans="2:12" s="51" customFormat="1" ht="14.25">
      <c r="B34" s="45"/>
      <c r="C34" s="18"/>
      <c r="D34" s="18"/>
      <c r="E34" s="102"/>
      <c r="F34" s="102"/>
      <c r="G34" s="234"/>
      <c r="H34" s="102"/>
      <c r="I34" s="102"/>
      <c r="J34" s="102"/>
      <c r="K34" s="195"/>
      <c r="L34" s="19"/>
    </row>
    <row r="35" spans="2:12" s="51" customFormat="1" ht="14.25">
      <c r="B35" s="45"/>
      <c r="C35" s="19"/>
      <c r="D35" s="19"/>
      <c r="E35" s="21"/>
      <c r="F35" s="21"/>
      <c r="G35" s="229"/>
      <c r="H35" s="21"/>
      <c r="I35" s="21"/>
      <c r="J35" s="21"/>
      <c r="K35" s="195"/>
      <c r="L35" s="19"/>
    </row>
    <row r="36" spans="2:12" s="51" customFormat="1" ht="15" customHeight="1">
      <c r="B36" s="201" t="s">
        <v>71</v>
      </c>
      <c r="C36" s="25"/>
      <c r="D36" s="25"/>
      <c r="E36" s="21"/>
      <c r="F36" s="21"/>
      <c r="G36" s="229"/>
      <c r="H36" s="21"/>
      <c r="I36" s="21"/>
      <c r="J36" s="21"/>
      <c r="K36" s="196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29">
        <f>'[6]Sheet2'!$W$51</f>
        <v>759.4935700000001</v>
      </c>
      <c r="H37" s="21"/>
      <c r="I37" s="21">
        <v>632</v>
      </c>
      <c r="J37" s="21">
        <f>'CF12.09'!D45/1000+'CF12.09'!D44/1000</f>
        <v>419.404</v>
      </c>
      <c r="K37" s="195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29">
        <f>'[6]Sheet2'!$W$55-1</f>
        <v>-653.4639199999999</v>
      </c>
      <c r="H38" s="21"/>
      <c r="I38" s="21">
        <v>-500</v>
      </c>
      <c r="J38" s="21">
        <f>'CF12.09'!D46/1000</f>
        <v>-500.682</v>
      </c>
      <c r="K38" s="195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29">
        <f>'[6]Sheet2'!$W$56</f>
        <v>-11841.34497</v>
      </c>
      <c r="H39" s="21"/>
      <c r="I39" s="21">
        <v>-15257</v>
      </c>
      <c r="J39" s="21">
        <f>'CF12.09'!D47/1000</f>
        <v>-11636.454</v>
      </c>
      <c r="K39" s="195"/>
      <c r="L39" s="19"/>
    </row>
    <row r="40" spans="2:12" s="51" customFormat="1" ht="14.25">
      <c r="B40" s="224" t="s">
        <v>261</v>
      </c>
      <c r="C40" s="19"/>
      <c r="D40" s="19"/>
      <c r="E40" s="21"/>
      <c r="F40" s="21"/>
      <c r="G40" s="229">
        <f>'[6]Sheet2'!$W$57</f>
        <v>61.87913</v>
      </c>
      <c r="H40" s="21"/>
      <c r="I40" s="21">
        <v>0</v>
      </c>
      <c r="J40" s="21"/>
      <c r="K40" s="195"/>
      <c r="L40" s="19"/>
    </row>
    <row r="41" spans="2:12" s="51" customFormat="1" ht="14.25">
      <c r="B41" s="45" t="s">
        <v>262</v>
      </c>
      <c r="C41" s="19"/>
      <c r="D41" s="19"/>
      <c r="E41" s="21"/>
      <c r="F41" s="21"/>
      <c r="G41" s="229">
        <f>'[6]Sheet2'!$W$58</f>
        <v>-3482.5125</v>
      </c>
      <c r="H41" s="21"/>
      <c r="I41" s="21">
        <v>0</v>
      </c>
      <c r="J41" s="21"/>
      <c r="K41" s="195"/>
      <c r="L41" s="19"/>
    </row>
    <row r="42" spans="2:12" s="51" customFormat="1" ht="14.25">
      <c r="B42" s="45" t="s">
        <v>245</v>
      </c>
      <c r="C42" s="19"/>
      <c r="D42" s="19"/>
      <c r="E42" s="21"/>
      <c r="F42" s="21"/>
      <c r="G42" s="229">
        <f>'[6]Sheet2'!$W$52</f>
        <v>230.81763</v>
      </c>
      <c r="H42" s="21"/>
      <c r="I42" s="21">
        <v>0</v>
      </c>
      <c r="J42" s="21"/>
      <c r="K42" s="195"/>
      <c r="L42" s="19"/>
    </row>
    <row r="43" spans="2:12" s="51" customFormat="1" ht="15" thickBot="1">
      <c r="B43" s="45"/>
      <c r="C43" s="19"/>
      <c r="D43" s="19"/>
      <c r="E43" s="22"/>
      <c r="F43" s="28"/>
      <c r="G43" s="232"/>
      <c r="H43" s="28"/>
      <c r="I43" s="22"/>
      <c r="J43" s="22"/>
      <c r="K43" s="195"/>
      <c r="L43" s="19"/>
    </row>
    <row r="44" spans="2:13" s="51" customFormat="1" ht="15.75" thickBot="1">
      <c r="B44" s="45" t="s">
        <v>133</v>
      </c>
      <c r="C44" s="18"/>
      <c r="D44" s="18"/>
      <c r="E44" s="50">
        <f>'[4]cashflow.'!$U$48</f>
        <v>-996</v>
      </c>
      <c r="F44" s="112"/>
      <c r="G44" s="233">
        <f>SUM(G37:G43)</f>
        <v>-14925.131060000002</v>
      </c>
      <c r="H44" s="28"/>
      <c r="I44" s="50">
        <f>SUM(I37:I43)</f>
        <v>-15125</v>
      </c>
      <c r="J44" s="50">
        <f>'CF12.09'!D49/1000</f>
        <v>3761.747</v>
      </c>
      <c r="K44" s="214"/>
      <c r="L44" s="19"/>
      <c r="M44" s="103"/>
    </row>
    <row r="45" spans="2:12" s="51" customFormat="1" ht="14.25">
      <c r="B45" s="200"/>
      <c r="C45" s="19"/>
      <c r="D45" s="19"/>
      <c r="E45" s="21"/>
      <c r="F45" s="21"/>
      <c r="G45" s="229"/>
      <c r="H45" s="21"/>
      <c r="I45" s="21"/>
      <c r="J45" s="21"/>
      <c r="K45" s="195"/>
      <c r="L45" s="19"/>
    </row>
    <row r="46" spans="2:12" s="51" customFormat="1" ht="15" customHeight="1">
      <c r="B46" s="201" t="s">
        <v>75</v>
      </c>
      <c r="C46" s="25"/>
      <c r="D46" s="25"/>
      <c r="E46" s="21"/>
      <c r="F46" s="21"/>
      <c r="G46" s="229"/>
      <c r="H46" s="21"/>
      <c r="I46" s="21"/>
      <c r="J46" s="21"/>
      <c r="K46" s="197"/>
      <c r="L46" s="18"/>
    </row>
    <row r="47" spans="2:12" s="51" customFormat="1" ht="14.25" customHeight="1" hidden="1">
      <c r="B47" s="199" t="s">
        <v>191</v>
      </c>
      <c r="C47" s="18"/>
      <c r="D47" s="18"/>
      <c r="E47" s="21">
        <v>0</v>
      </c>
      <c r="F47" s="21"/>
      <c r="G47" s="229">
        <v>0</v>
      </c>
      <c r="H47" s="21"/>
      <c r="I47" s="21">
        <v>0</v>
      </c>
      <c r="J47" s="21">
        <f>'CF12.09'!D53/1000</f>
        <v>13320</v>
      </c>
      <c r="K47" s="195"/>
      <c r="L47" s="19"/>
    </row>
    <row r="48" spans="2:12" s="51" customFormat="1" ht="14.25" customHeight="1" hidden="1">
      <c r="B48" s="199" t="s">
        <v>192</v>
      </c>
      <c r="C48" s="18"/>
      <c r="D48" s="18"/>
      <c r="E48" s="21">
        <f>'[4]cashflow.'!$U$55</f>
        <v>-161.806</v>
      </c>
      <c r="F48" s="21"/>
      <c r="G48" s="229">
        <v>0</v>
      </c>
      <c r="H48" s="21"/>
      <c r="I48" s="21">
        <v>0</v>
      </c>
      <c r="J48" s="21">
        <f>'CF12.09'!D54/1000</f>
        <v>1785.884</v>
      </c>
      <c r="K48" s="195"/>
      <c r="L48" s="19"/>
    </row>
    <row r="49" spans="2:12" s="51" customFormat="1" ht="14.25" customHeight="1">
      <c r="B49" s="199" t="s">
        <v>76</v>
      </c>
      <c r="C49" s="18"/>
      <c r="D49" s="18"/>
      <c r="E49" s="21">
        <f>'[4]cashflow.'!$U$52</f>
        <v>-6</v>
      </c>
      <c r="F49" s="21"/>
      <c r="G49" s="229">
        <f>'[6]Sheet2'!$W$65</f>
        <v>-12.96343</v>
      </c>
      <c r="H49" s="21"/>
      <c r="I49" s="21">
        <v>-13</v>
      </c>
      <c r="J49" s="21">
        <f>'CF12.09'!D55/1000</f>
        <v>-9.886</v>
      </c>
      <c r="K49" s="195"/>
      <c r="L49" s="19"/>
    </row>
    <row r="50" spans="2:12" s="51" customFormat="1" ht="14.25" customHeight="1">
      <c r="B50" s="199" t="s">
        <v>193</v>
      </c>
      <c r="C50" s="18"/>
      <c r="D50" s="18"/>
      <c r="E50" s="21">
        <f>'[4]cashflow.'!$U$53</f>
        <v>-15</v>
      </c>
      <c r="F50" s="21"/>
      <c r="G50" s="229">
        <f>'[6]Sheet2'!$W$66</f>
        <v>-808.3509</v>
      </c>
      <c r="H50" s="21"/>
      <c r="I50" s="21">
        <v>-913</v>
      </c>
      <c r="J50" s="21">
        <f>'CF12.09'!D56/1000</f>
        <v>-26.016</v>
      </c>
      <c r="K50" s="195"/>
      <c r="L50" s="19"/>
    </row>
    <row r="51" spans="2:12" s="51" customFormat="1" ht="14.25" customHeight="1">
      <c r="B51" s="199" t="s">
        <v>77</v>
      </c>
      <c r="C51" s="18"/>
      <c r="D51" s="18"/>
      <c r="E51" s="21">
        <f>'[4]cashflow.'!$U$54</f>
        <v>-440</v>
      </c>
      <c r="F51" s="21"/>
      <c r="G51" s="229">
        <f>'[6]Sheet2'!$W$67-1</f>
        <v>-23.489</v>
      </c>
      <c r="H51" s="21"/>
      <c r="I51" s="21">
        <v>-73</v>
      </c>
      <c r="J51" s="21">
        <f>'CF12.09'!D57/1000</f>
        <v>-63.273</v>
      </c>
      <c r="K51" s="195"/>
      <c r="L51" s="19"/>
    </row>
    <row r="52" spans="2:12" s="51" customFormat="1" ht="14.25" customHeight="1">
      <c r="B52" s="199" t="s">
        <v>260</v>
      </c>
      <c r="C52" s="18"/>
      <c r="D52" s="18"/>
      <c r="E52" s="21"/>
      <c r="F52" s="21"/>
      <c r="G52" s="229">
        <v>0</v>
      </c>
      <c r="H52" s="28"/>
      <c r="I52" s="28">
        <v>31200</v>
      </c>
      <c r="J52" s="21"/>
      <c r="K52" s="195"/>
      <c r="L52" s="19"/>
    </row>
    <row r="53" spans="2:12" s="51" customFormat="1" ht="14.25" customHeight="1">
      <c r="B53" s="199" t="s">
        <v>230</v>
      </c>
      <c r="C53" s="18"/>
      <c r="D53" s="18"/>
      <c r="E53" s="21">
        <f>'[4]cashflow.'!$U$51</f>
        <v>-1007.242</v>
      </c>
      <c r="F53" s="21"/>
      <c r="G53" s="229">
        <f>'[6]Sheet2'!$W$64</f>
        <v>1345</v>
      </c>
      <c r="H53" s="28"/>
      <c r="I53" s="28">
        <v>2714</v>
      </c>
      <c r="J53" s="21">
        <f>'CF12.09'!D60/1000</f>
        <v>-2812.839</v>
      </c>
      <c r="K53" s="195"/>
      <c r="L53" s="19"/>
    </row>
    <row r="54" spans="2:12" s="51" customFormat="1" ht="14.25" customHeight="1">
      <c r="B54" s="199" t="s">
        <v>231</v>
      </c>
      <c r="C54" s="18"/>
      <c r="D54" s="18"/>
      <c r="E54" s="21"/>
      <c r="F54" s="21"/>
      <c r="G54" s="229">
        <f>'[6]Sheet2'!$W$68</f>
        <v>-3786.21687</v>
      </c>
      <c r="H54" s="28"/>
      <c r="I54" s="28">
        <v>-3948</v>
      </c>
      <c r="J54" s="21"/>
      <c r="K54" s="195"/>
      <c r="L54" s="19"/>
    </row>
    <row r="55" spans="2:12" s="51" customFormat="1" ht="14.25" customHeight="1">
      <c r="B55" s="199" t="s">
        <v>276</v>
      </c>
      <c r="C55" s="18"/>
      <c r="D55" s="18"/>
      <c r="E55" s="21"/>
      <c r="F55" s="21"/>
      <c r="G55" s="229">
        <f>'[6]Sheet2'!$W$71</f>
        <v>-66.31174</v>
      </c>
      <c r="H55" s="28"/>
      <c r="I55" s="28">
        <v>0</v>
      </c>
      <c r="J55" s="21"/>
      <c r="K55" s="195"/>
      <c r="L55" s="19"/>
    </row>
    <row r="56" spans="2:12" s="51" customFormat="1" ht="14.25" customHeight="1" thickBot="1">
      <c r="B56" s="226" t="s">
        <v>274</v>
      </c>
      <c r="C56" s="18"/>
      <c r="D56" s="18"/>
      <c r="E56" s="22"/>
      <c r="F56" s="28"/>
      <c r="G56" s="235">
        <f>'[6]Sheet2'!$W$72</f>
        <v>-1600</v>
      </c>
      <c r="H56" s="28"/>
      <c r="I56" s="28">
        <v>-4800</v>
      </c>
      <c r="J56" s="22"/>
      <c r="K56" s="195"/>
      <c r="L56" s="19"/>
    </row>
    <row r="57" spans="2:12" s="51" customFormat="1" ht="14.25" customHeight="1" thickBot="1">
      <c r="B57" s="226"/>
      <c r="C57" s="18"/>
      <c r="D57" s="18"/>
      <c r="E57" s="22"/>
      <c r="F57" s="28"/>
      <c r="G57" s="232"/>
      <c r="H57" s="28"/>
      <c r="I57" s="22"/>
      <c r="J57" s="22"/>
      <c r="K57" s="195"/>
      <c r="L57" s="19"/>
    </row>
    <row r="58" spans="3:12" s="51" customFormat="1" ht="18" customHeight="1" thickBot="1">
      <c r="C58" s="20"/>
      <c r="D58" s="20"/>
      <c r="E58" s="53">
        <f>'[4]cashflow.'!$U$63</f>
        <v>-1267.048</v>
      </c>
      <c r="F58" s="173"/>
      <c r="G58" s="236">
        <f>SUM(G47:G56)+1</f>
        <v>-4951.33194</v>
      </c>
      <c r="H58" s="28"/>
      <c r="I58" s="50">
        <f>SUM(I47:I56)</f>
        <v>24167</v>
      </c>
      <c r="J58" s="50">
        <f>'CF12.09'!D63/1000</f>
        <v>4006.676</v>
      </c>
      <c r="K58" s="195"/>
      <c r="L58" s="19"/>
    </row>
    <row r="59" spans="2:12" s="51" customFormat="1" ht="14.25">
      <c r="B59" s="45"/>
      <c r="C59" s="18"/>
      <c r="D59" s="18"/>
      <c r="E59" s="102"/>
      <c r="F59" s="102"/>
      <c r="G59" s="234"/>
      <c r="H59" s="28"/>
      <c r="I59" s="28"/>
      <c r="J59" s="102"/>
      <c r="K59" s="195"/>
      <c r="L59" s="19"/>
    </row>
    <row r="60" spans="2:12" s="51" customFormat="1" ht="14.25" customHeight="1">
      <c r="B60" s="201" t="s">
        <v>144</v>
      </c>
      <c r="C60" s="18"/>
      <c r="D60" s="18"/>
      <c r="E60" s="21">
        <f>'[4]cashflow.'!$U$65</f>
        <v>-2883.639399999992</v>
      </c>
      <c r="F60" s="21"/>
      <c r="G60" s="229">
        <f>G33+G44+G58+1</f>
        <v>-15344.707170000003</v>
      </c>
      <c r="H60" s="28"/>
      <c r="I60" s="28">
        <f>I33+I44+I58</f>
        <v>5996</v>
      </c>
      <c r="J60" s="21">
        <f>'CF12.09'!D65/1000</f>
        <v>18799.987</v>
      </c>
      <c r="K60" s="28"/>
      <c r="L60" s="19"/>
    </row>
    <row r="61" spans="2:12" s="51" customFormat="1" ht="14.25">
      <c r="B61" s="199"/>
      <c r="C61" s="19"/>
      <c r="D61" s="19"/>
      <c r="E61" s="21"/>
      <c r="F61" s="21"/>
      <c r="G61" s="229"/>
      <c r="H61" s="28"/>
      <c r="I61" s="28"/>
      <c r="J61" s="21"/>
      <c r="K61" s="195"/>
      <c r="L61" s="19"/>
    </row>
    <row r="62" spans="2:12" s="51" customFormat="1" ht="14.25" customHeight="1" thickBot="1">
      <c r="B62" s="257" t="s">
        <v>100</v>
      </c>
      <c r="C62" s="20"/>
      <c r="D62" s="20"/>
      <c r="E62" s="22">
        <f>'[4]cashflow.'!$U$67</f>
        <v>18800</v>
      </c>
      <c r="F62" s="28"/>
      <c r="G62" s="232">
        <f>'[6]Sheet2'!$W$82</f>
        <v>32961.051999999996</v>
      </c>
      <c r="H62" s="28"/>
      <c r="I62" s="22">
        <v>20571</v>
      </c>
      <c r="J62" s="22">
        <f>'CF12.09'!D68/1000</f>
        <v>0.002</v>
      </c>
      <c r="K62" s="195"/>
      <c r="L62" s="19"/>
    </row>
    <row r="63" spans="2:12" s="51" customFormat="1" ht="14.25">
      <c r="B63" s="257"/>
      <c r="C63" s="20"/>
      <c r="D63" s="20"/>
      <c r="E63" s="102"/>
      <c r="F63" s="102"/>
      <c r="G63" s="234"/>
      <c r="H63" s="28"/>
      <c r="I63" s="28"/>
      <c r="J63" s="102"/>
      <c r="K63" s="195"/>
      <c r="L63" s="19"/>
    </row>
    <row r="64" spans="2:12" s="51" customFormat="1" ht="15.75" thickBot="1">
      <c r="B64" s="257" t="s">
        <v>134</v>
      </c>
      <c r="C64" s="20"/>
      <c r="D64" s="19"/>
      <c r="E64" s="111">
        <f>'[4]cashflow.'!$U$69</f>
        <v>15916.360600000007</v>
      </c>
      <c r="F64" s="112"/>
      <c r="G64" s="237">
        <f>SUM(G60:G62)</f>
        <v>17616.344829999995</v>
      </c>
      <c r="H64" s="112"/>
      <c r="I64" s="111">
        <f>SUM(I60:I62)</f>
        <v>26567</v>
      </c>
      <c r="J64" s="111">
        <f>'CF12.09'!D70/1000</f>
        <v>18799.989</v>
      </c>
      <c r="K64" s="195"/>
      <c r="L64" s="19"/>
    </row>
    <row r="65" spans="2:11" s="51" customFormat="1" ht="15" thickTop="1">
      <c r="B65" s="257"/>
      <c r="G65" s="190"/>
      <c r="H65" s="28"/>
      <c r="I65" s="28"/>
      <c r="K65" s="184"/>
    </row>
    <row r="66" spans="2:11" s="51" customFormat="1" ht="14.25">
      <c r="B66" s="12"/>
      <c r="G66" s="190"/>
      <c r="H66" s="28"/>
      <c r="I66" s="28"/>
      <c r="K66" s="184"/>
    </row>
    <row r="67" spans="2:11" s="51" customFormat="1" ht="14.25">
      <c r="B67" s="2" t="s">
        <v>96</v>
      </c>
      <c r="G67" s="190"/>
      <c r="H67" s="28"/>
      <c r="I67" s="28"/>
      <c r="K67" s="184"/>
    </row>
    <row r="68" spans="2:11" s="51" customFormat="1" ht="14.25">
      <c r="B68" s="12" t="s">
        <v>258</v>
      </c>
      <c r="E68" s="102">
        <f>'[4]cashflow.'!$N$75</f>
        <v>29350</v>
      </c>
      <c r="F68" s="102"/>
      <c r="G68" s="234">
        <f>'[6]Sheet2'!$W$89+'[6]Sheet2'!$W$90+'[6]Sheet2'!$W$92</f>
        <v>28971.7655</v>
      </c>
      <c r="H68" s="28"/>
      <c r="I68" s="28">
        <v>30436</v>
      </c>
      <c r="J68" s="21">
        <f>'CF12.09'!D83/1000+'CF12.09'!D85/1000</f>
        <v>28249.176</v>
      </c>
      <c r="K68" s="184"/>
    </row>
    <row r="69" spans="2:11" s="51" customFormat="1" ht="14.25">
      <c r="B69" s="12" t="s">
        <v>82</v>
      </c>
      <c r="E69" s="102">
        <f>'[4]cashflow.'!$N$76</f>
        <v>3944</v>
      </c>
      <c r="F69" s="102"/>
      <c r="G69" s="234">
        <f>'[6]Sheet2'!$W$91</f>
        <v>7396.05282</v>
      </c>
      <c r="H69" s="28"/>
      <c r="I69" s="28">
        <v>11366</v>
      </c>
      <c r="J69" s="21">
        <f>'CF12.09'!D86/1000</f>
        <v>3199.333</v>
      </c>
      <c r="K69" s="184"/>
    </row>
    <row r="70" spans="2:11" s="51" customFormat="1" ht="15" thickBot="1">
      <c r="B70" s="12" t="s">
        <v>83</v>
      </c>
      <c r="E70" s="123">
        <f>'[4]cashflow.'!$N$77</f>
        <v>-8541</v>
      </c>
      <c r="F70" s="174"/>
      <c r="G70" s="238">
        <f>'[6]Sheet2'!$W$93</f>
        <v>-5641.48209</v>
      </c>
      <c r="H70" s="54"/>
      <c r="I70" s="183">
        <v>-2928</v>
      </c>
      <c r="J70" s="22">
        <f>'CF12.09'!D87/1000</f>
        <v>-3959.186</v>
      </c>
      <c r="K70" s="184"/>
    </row>
    <row r="71" spans="2:11" s="51" customFormat="1" ht="14.25">
      <c r="B71" s="12"/>
      <c r="E71" s="102">
        <f>'[4]cashflow.'!$N$78</f>
        <v>24753</v>
      </c>
      <c r="F71" s="102"/>
      <c r="G71" s="234">
        <f>SUM(G68:G70)+1</f>
        <v>30727.336229999997</v>
      </c>
      <c r="I71" s="102">
        <f>SUM(I68:I70)</f>
        <v>38874</v>
      </c>
      <c r="J71" s="21">
        <f>'CF12.09'!D89/1000</f>
        <v>27489.323</v>
      </c>
      <c r="K71" s="184"/>
    </row>
    <row r="72" spans="2:11" s="51" customFormat="1" ht="14.25">
      <c r="B72" s="43" t="s">
        <v>137</v>
      </c>
      <c r="C72" s="104"/>
      <c r="E72" s="102">
        <f>'[4]cashflow.'!$N$79</f>
        <v>-8843</v>
      </c>
      <c r="F72" s="102"/>
      <c r="G72" s="234">
        <f>'[6]Sheet2'!$W$95</f>
        <v>-13110.7655</v>
      </c>
      <c r="I72" s="184">
        <v>-12307</v>
      </c>
      <c r="J72" s="21">
        <f>'CF12.09'!D91/1000</f>
        <v>-8689.334</v>
      </c>
      <c r="K72" s="184"/>
    </row>
    <row r="73" spans="2:11" s="51" customFormat="1" ht="15.75" thickBot="1">
      <c r="B73" s="12"/>
      <c r="E73" s="113">
        <f>'[4]cashflow.'!$N$80</f>
        <v>15910</v>
      </c>
      <c r="F73" s="175"/>
      <c r="G73" s="239">
        <f>SUM(G71:G72)-1</f>
        <v>17615.57073</v>
      </c>
      <c r="H73" s="112"/>
      <c r="I73" s="182">
        <f>SUM(I71:I72)</f>
        <v>26567</v>
      </c>
      <c r="J73" s="170">
        <f>'CF12.09'!D93/1000</f>
        <v>18799.989</v>
      </c>
      <c r="K73" s="184"/>
    </row>
    <row r="74" spans="7:11" s="51" customFormat="1" ht="15" thickTop="1">
      <c r="G74" s="194"/>
      <c r="H74" s="28"/>
      <c r="I74" s="28"/>
      <c r="K74" s="184"/>
    </row>
    <row r="75" spans="2:9" s="51" customFormat="1" ht="14.25" hidden="1">
      <c r="B75" s="51" t="s">
        <v>123</v>
      </c>
      <c r="E75" s="103"/>
      <c r="F75" s="103"/>
      <c r="G75" s="194"/>
      <c r="H75" s="28"/>
      <c r="I75" s="28"/>
    </row>
    <row r="76" s="51" customFormat="1" ht="12.75" customHeight="1">
      <c r="G76" s="190"/>
    </row>
    <row r="77" spans="2:7" s="51" customFormat="1" ht="16.5">
      <c r="B77" s="124" t="s">
        <v>224</v>
      </c>
      <c r="G77" s="190"/>
    </row>
    <row r="78" spans="2:7" s="51" customFormat="1" ht="16.5">
      <c r="B78" s="124" t="s">
        <v>250</v>
      </c>
      <c r="G78" s="190"/>
    </row>
    <row r="79" spans="2:7" s="51" customFormat="1" ht="16.5">
      <c r="B79" s="181" t="s">
        <v>99</v>
      </c>
      <c r="G79" s="190"/>
    </row>
  </sheetData>
  <sheetProtection/>
  <mergeCells count="6">
    <mergeCell ref="B62:B63"/>
    <mergeCell ref="B64:B65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2012-11-05T09:28:48Z</cp:lastPrinted>
  <dcterms:created xsi:type="dcterms:W3CDTF">2002-11-05T00:02:16Z</dcterms:created>
  <dcterms:modified xsi:type="dcterms:W3CDTF">2012-11-06T03:39:59Z</dcterms:modified>
  <cp:category/>
  <cp:version/>
  <cp:contentType/>
  <cp:contentStatus/>
</cp:coreProperties>
</file>